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talu-my.sharepoint.com/personal/novell_world-aluminium_org/Documents/IAI Communications, PR &amp; Websites/Websites/Website - World Aluminium/New website build/Publications/FInal Publications/2018/"/>
    </mc:Choice>
  </mc:AlternateContent>
  <xr:revisionPtr revIDLastSave="0" documentId="8_{194AF8D4-EE90-4A88-8C8B-929CA5BC9E81}" xr6:coauthVersionLast="45" xr6:coauthVersionMax="45" xr10:uidLastSave="{00000000-0000-0000-0000-000000000000}"/>
  <bookViews>
    <workbookView xWindow="-110" yWindow="-110" windowWidth="19420" windowHeight="10420" tabRatio="839" firstSheet="1" activeTab="1" xr2:uid="{00000000-000D-0000-FFFF-FFFF00000000}"/>
  </bookViews>
  <sheets>
    <sheet name="Reference values" sheetId="11" state="hidden" r:id="rId1"/>
    <sheet name="Metadata" sheetId="1" r:id="rId2"/>
    <sheet name="Power Consumption (output)" sheetId="2" r:id="rId3"/>
    <sheet name="1 - Power Import" sheetId="12" r:id="rId4"/>
    <sheet name="2 - Self-Generated Power" sheetId="6" r:id="rId5"/>
    <sheet name="3 - Electrolysis" sheetId="9" r:id="rId6"/>
    <sheet name="4 - Søderberg Paste Production" sheetId="3" r:id="rId7"/>
    <sheet name="5 - Prebaked Anode Production" sheetId="4" r:id="rId8"/>
    <sheet name="6 - Ingot Casting" sheetId="5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" i="5" l="1"/>
  <c r="H18" i="1"/>
  <c r="H17" i="1"/>
  <c r="H16" i="1"/>
  <c r="G11" i="5"/>
  <c r="G12" i="5"/>
  <c r="G13" i="5"/>
  <c r="G14" i="5"/>
  <c r="G15" i="5"/>
  <c r="F10" i="12"/>
  <c r="G10" i="12" s="1"/>
  <c r="F16" i="2" s="1"/>
  <c r="D11" i="9"/>
  <c r="F2" i="4"/>
  <c r="F12" i="4"/>
  <c r="F7" i="9"/>
  <c r="G7" i="9" s="1"/>
  <c r="G4" i="9"/>
  <c r="G5" i="9"/>
  <c r="G6" i="9"/>
  <c r="G3" i="9"/>
  <c r="E3" i="9"/>
  <c r="D17" i="9"/>
  <c r="F7" i="3"/>
  <c r="C7" i="3"/>
  <c r="C10" i="12"/>
  <c r="C12" i="4"/>
  <c r="C19" i="5"/>
  <c r="C7" i="9"/>
  <c r="G16" i="9" s="1"/>
  <c r="C10" i="6"/>
  <c r="H12" i="6" s="1"/>
  <c r="F3" i="2"/>
  <c r="F10" i="2" s="1"/>
  <c r="F4" i="2"/>
  <c r="F5" i="2"/>
  <c r="F6" i="2"/>
  <c r="F7" i="2"/>
  <c r="F8" i="2"/>
  <c r="F9" i="2"/>
  <c r="E3" i="12"/>
  <c r="E4" i="12"/>
  <c r="E5" i="12"/>
  <c r="E6" i="12"/>
  <c r="E7" i="12"/>
  <c r="E8" i="12"/>
  <c r="E9" i="12"/>
  <c r="J25" i="4"/>
  <c r="H24" i="2"/>
  <c r="C28" i="4"/>
  <c r="C25" i="2"/>
  <c r="C14" i="6"/>
  <c r="J3" i="6"/>
  <c r="J4" i="6"/>
  <c r="J5" i="6"/>
  <c r="J10" i="6" s="1"/>
  <c r="J6" i="6"/>
  <c r="J7" i="6"/>
  <c r="J8" i="6"/>
  <c r="J9" i="6"/>
  <c r="C24" i="2"/>
  <c r="C23" i="2"/>
  <c r="C26" i="2"/>
  <c r="F2" i="3"/>
  <c r="H9" i="6"/>
  <c r="H3" i="6"/>
  <c r="H4" i="6"/>
  <c r="H5" i="6"/>
  <c r="H6" i="6"/>
  <c r="H10" i="6" s="1"/>
  <c r="H7" i="6"/>
  <c r="H8" i="6"/>
  <c r="G19" i="4"/>
  <c r="G20" i="4"/>
  <c r="G21" i="4"/>
  <c r="G22" i="4"/>
  <c r="G23" i="4"/>
  <c r="D12" i="9"/>
  <c r="D13" i="9" s="1"/>
  <c r="G15" i="9" s="1"/>
  <c r="H25" i="2" s="1"/>
  <c r="I25" i="2" s="1"/>
  <c r="D18" i="9"/>
  <c r="C27" i="4"/>
  <c r="I19" i="4"/>
  <c r="I20" i="4"/>
  <c r="I25" i="4" s="1"/>
  <c r="I21" i="4"/>
  <c r="I22" i="4"/>
  <c r="I23" i="4"/>
  <c r="D7" i="9"/>
  <c r="E7" i="9" s="1"/>
  <c r="E4" i="9"/>
  <c r="E5" i="9"/>
  <c r="E6" i="9"/>
  <c r="G4" i="12"/>
  <c r="G5" i="12"/>
  <c r="G6" i="12"/>
  <c r="G7" i="12"/>
  <c r="G8" i="12"/>
  <c r="G9" i="12"/>
  <c r="G3" i="12"/>
  <c r="I14" i="3"/>
  <c r="I20" i="3" s="1"/>
  <c r="G23" i="2" s="1"/>
  <c r="G14" i="3"/>
  <c r="G15" i="3"/>
  <c r="G16" i="3"/>
  <c r="G17" i="3"/>
  <c r="G18" i="3"/>
  <c r="I15" i="3"/>
  <c r="I16" i="3"/>
  <c r="I17" i="3"/>
  <c r="I18" i="3"/>
  <c r="C23" i="3"/>
  <c r="C22" i="3"/>
  <c r="I13" i="5"/>
  <c r="I14" i="5"/>
  <c r="I12" i="5"/>
  <c r="I15" i="5"/>
  <c r="I11" i="5"/>
  <c r="C29" i="4"/>
  <c r="I27" i="2"/>
  <c r="I17" i="5"/>
  <c r="G26" i="2" s="1"/>
  <c r="I26" i="2" s="1"/>
  <c r="C20" i="5"/>
  <c r="H19" i="1"/>
  <c r="H15" i="1"/>
  <c r="C21" i="5"/>
  <c r="C24" i="3"/>
  <c r="H28" i="2" l="1"/>
  <c r="E7" i="2"/>
  <c r="E6" i="2"/>
  <c r="E4" i="2"/>
  <c r="E8" i="2"/>
  <c r="E9" i="2"/>
  <c r="E3" i="2"/>
  <c r="E10" i="2" s="1"/>
  <c r="E5" i="2"/>
  <c r="G24" i="2"/>
  <c r="I24" i="2" s="1"/>
  <c r="I26" i="4"/>
  <c r="I23" i="2"/>
  <c r="I28" i="2" s="1"/>
  <c r="C16" i="6"/>
  <c r="D16" i="2" s="1"/>
  <c r="E18" i="2" s="1"/>
  <c r="F5" i="5"/>
  <c r="E10" i="12"/>
  <c r="E13" i="2" s="1"/>
  <c r="H14" i="6"/>
  <c r="C15" i="6"/>
  <c r="J26" i="2" l="1"/>
  <c r="J27" i="2"/>
  <c r="J23" i="2"/>
  <c r="J25" i="2"/>
  <c r="J24" i="2"/>
  <c r="G28" i="2"/>
  <c r="D9" i="2"/>
  <c r="D3" i="2"/>
  <c r="D10" i="2" s="1"/>
  <c r="D7" i="2"/>
  <c r="D8" i="2"/>
  <c r="D4" i="2"/>
  <c r="D6" i="2"/>
  <c r="D5" i="2"/>
  <c r="C9" i="2" l="1"/>
  <c r="C4" i="2"/>
  <c r="E12" i="2"/>
  <c r="C3" i="2"/>
  <c r="C8" i="2"/>
  <c r="C6" i="2"/>
  <c r="C5" i="2"/>
  <c r="C7" i="2"/>
  <c r="J28" i="2"/>
  <c r="E14" i="2" l="1"/>
  <c r="C27" i="2"/>
  <c r="E20" i="2"/>
  <c r="C10" i="2"/>
  <c r="H19" i="3" l="1"/>
  <c r="J19" i="3" s="1"/>
  <c r="J20" i="3" s="1"/>
  <c r="H16" i="5"/>
  <c r="J16" i="5" s="1"/>
  <c r="J17" i="5" s="1"/>
  <c r="K24" i="2"/>
  <c r="K25" i="2"/>
  <c r="H24" i="4"/>
  <c r="K24" i="4" s="1"/>
  <c r="K25" i="4" s="1"/>
  <c r="K23" i="2"/>
  <c r="K26" i="2"/>
  <c r="K27" i="2"/>
  <c r="C28" i="2"/>
  <c r="F19" i="3"/>
  <c r="G19" i="3" s="1"/>
  <c r="G20" i="3" s="1"/>
  <c r="E23" i="2" s="1"/>
  <c r="F24" i="4"/>
  <c r="G24" i="4" s="1"/>
  <c r="G25" i="4" s="1"/>
  <c r="E24" i="2" s="1"/>
  <c r="E25" i="2"/>
  <c r="F16" i="5"/>
  <c r="G16" i="5" s="1"/>
  <c r="G17" i="5" s="1"/>
  <c r="E26" i="2" s="1"/>
  <c r="K28" i="2" l="1"/>
  <c r="E27" i="2"/>
  <c r="E28" i="2" s="1"/>
  <c r="D26" i="2"/>
  <c r="D23" i="2"/>
  <c r="D24" i="2"/>
  <c r="D27" i="2"/>
  <c r="D25" i="2"/>
  <c r="F25" i="2" l="1"/>
  <c r="F24" i="2"/>
  <c r="F23" i="2"/>
  <c r="F27" i="2"/>
  <c r="F26" i="2"/>
  <c r="D28" i="2"/>
  <c r="L24" i="2"/>
  <c r="L27" i="2"/>
  <c r="L25" i="2"/>
  <c r="L26" i="2"/>
  <c r="L23" i="2"/>
  <c r="L28" i="2" l="1"/>
  <c r="F28" i="2"/>
</calcChain>
</file>

<file path=xl/sharedStrings.xml><?xml version="1.0" encoding="utf-8"?>
<sst xmlns="http://schemas.openxmlformats.org/spreadsheetml/2006/main" count="296" uniqueCount="161">
  <si>
    <t>Yes</t>
  </si>
  <si>
    <t>No</t>
  </si>
  <si>
    <t>Annual Report for:</t>
  </si>
  <si>
    <t>Due Date:</t>
  </si>
  <si>
    <t>Electrolysis</t>
  </si>
  <si>
    <t>Casting</t>
  </si>
  <si>
    <t>Hydro</t>
  </si>
  <si>
    <t>Other renewables</t>
  </si>
  <si>
    <t>Coal</t>
  </si>
  <si>
    <t>Oil</t>
  </si>
  <si>
    <t>Natural Gas</t>
  </si>
  <si>
    <t>Nuclear</t>
  </si>
  <si>
    <t>FIELD CODES:</t>
  </si>
  <si>
    <t>User entered data:</t>
  </si>
  <si>
    <t>Autocalculated:</t>
  </si>
  <si>
    <t>Smelter/Anode Energy Survey</t>
  </si>
  <si>
    <t>Quantity of Fuel Consumed</t>
  </si>
  <si>
    <t>kg</t>
  </si>
  <si>
    <t>Heavy Oil</t>
  </si>
  <si>
    <t>Diesel Oil</t>
  </si>
  <si>
    <t>kJ/kg</t>
  </si>
  <si>
    <t>TJ</t>
  </si>
  <si>
    <t>GWh</t>
  </si>
  <si>
    <t>Prebaked anode production</t>
  </si>
  <si>
    <t>tonnes</t>
  </si>
  <si>
    <t>Power Mix</t>
  </si>
  <si>
    <t>kJ/kWh</t>
  </si>
  <si>
    <t>Other (please specify)</t>
  </si>
  <si>
    <t>Electricity</t>
  </si>
  <si>
    <t>MJ/t paste</t>
  </si>
  <si>
    <t>~</t>
  </si>
  <si>
    <t>CWPB</t>
  </si>
  <si>
    <t>SWPB</t>
  </si>
  <si>
    <t>VSS</t>
  </si>
  <si>
    <t>HSS</t>
  </si>
  <si>
    <t>kg/t Al</t>
  </si>
  <si>
    <t>Combustion Energy of Fuel Used in Prebaked Anode Production, TJ</t>
  </si>
  <si>
    <t>MJ/t baked anode</t>
  </si>
  <si>
    <t>For further information please contact Linlin WU, IAI Manager Statistical Analysis on (44) 20 7930 0528.</t>
  </si>
  <si>
    <t>Other non-renewables</t>
  </si>
  <si>
    <t>1. Company name</t>
  </si>
  <si>
    <t>2. Facility name</t>
  </si>
  <si>
    <r>
      <t>S</t>
    </r>
    <r>
      <rPr>
        <sz val="11"/>
        <color theme="1"/>
        <rFont val="Times New Roman"/>
        <family val="1"/>
      </rPr>
      <t>ø</t>
    </r>
    <r>
      <rPr>
        <sz val="11"/>
        <color theme="1"/>
        <rFont val="Calibri"/>
        <family val="2"/>
      </rPr>
      <t>derberg p</t>
    </r>
    <r>
      <rPr>
        <sz val="11"/>
        <color theme="1"/>
        <rFont val="Calibri"/>
        <family val="2"/>
        <scheme val="minor"/>
      </rPr>
      <t>aste production</t>
    </r>
  </si>
  <si>
    <t>Power generation</t>
  </si>
  <si>
    <t>Booleian</t>
  </si>
  <si>
    <t>Other non-renewables (e.g. wastes)</t>
  </si>
  <si>
    <t>Total:</t>
  </si>
  <si>
    <t>kWh</t>
  </si>
  <si>
    <t>Quantity of Fuel/Electricity Consumed</t>
  </si>
  <si>
    <t>Paste production</t>
  </si>
  <si>
    <t>Anode production</t>
  </si>
  <si>
    <t>t CO2e/t ingot</t>
  </si>
  <si>
    <t>*  e.g. HVAC, pollution control, lighting etc</t>
  </si>
  <si>
    <r>
      <t>t CO</t>
    </r>
    <r>
      <rPr>
        <vertAlign val="sub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e</t>
    </r>
  </si>
  <si>
    <r>
      <t>kg CO</t>
    </r>
    <r>
      <rPr>
        <vertAlign val="sub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e/kWh</t>
    </r>
  </si>
  <si>
    <t>Imported (purchased) Electrical Energy, %</t>
  </si>
  <si>
    <t>Imported (purchased) Electrical Energy, GWh</t>
  </si>
  <si>
    <t>Self-generated Electrical Energy, GWh</t>
  </si>
  <si>
    <t>Self-generated Electrical Energy, %</t>
  </si>
  <si>
    <t>Facility Net Power Consumption Emissions (excl exported energy):</t>
  </si>
  <si>
    <t>Natural gas</t>
  </si>
  <si>
    <t>Facility-wide Power Consumption Emissions Intensity:</t>
  </si>
  <si>
    <r>
      <t>Fuel Combustion Emissions, t 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</t>
    </r>
  </si>
  <si>
    <r>
      <t>Total Direct Emissions (excl. PFCs), t 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</t>
    </r>
  </si>
  <si>
    <r>
      <t>Power Consumption Emissions, t 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</t>
    </r>
  </si>
  <si>
    <t>Electrical Energy, GWh</t>
  </si>
  <si>
    <t>Primary Energy, TJ</t>
  </si>
  <si>
    <t>Default Conversion Factor, kJ/kWh</t>
  </si>
  <si>
    <r>
      <t>Facility Scope 2 Emissions, t CO</t>
    </r>
    <r>
      <rPr>
        <b/>
        <vertAlign val="subscript"/>
        <sz val="10"/>
        <rFont val="Calibri"/>
        <family val="2"/>
        <scheme val="minor"/>
      </rPr>
      <t>2</t>
    </r>
    <r>
      <rPr>
        <b/>
        <sz val="10"/>
        <rFont val="Calibri"/>
        <family val="2"/>
        <scheme val="minor"/>
      </rPr>
      <t>e</t>
    </r>
  </si>
  <si>
    <r>
      <t>Default GHG Emission Factor, kg CO</t>
    </r>
    <r>
      <rPr>
        <b/>
        <vertAlign val="subscript"/>
        <sz val="10"/>
        <rFont val="Calibri"/>
        <family val="2"/>
        <scheme val="minor"/>
      </rPr>
      <t>2</t>
    </r>
    <r>
      <rPr>
        <b/>
        <sz val="10"/>
        <rFont val="Calibri"/>
        <family val="2"/>
        <scheme val="minor"/>
      </rPr>
      <t>e/kWh</t>
    </r>
  </si>
  <si>
    <r>
      <t>m</t>
    </r>
    <r>
      <rPr>
        <vertAlign val="superscript"/>
        <sz val="10"/>
        <rFont val="Calibri"/>
        <family val="2"/>
        <scheme val="minor"/>
      </rPr>
      <t>3</t>
    </r>
  </si>
  <si>
    <r>
      <t>kJ/m</t>
    </r>
    <r>
      <rPr>
        <vertAlign val="superscript"/>
        <sz val="10"/>
        <rFont val="Calibri"/>
        <family val="2"/>
        <scheme val="minor"/>
      </rPr>
      <t>3</t>
    </r>
  </si>
  <si>
    <t>Self-Generated Electrical Energy, GWh</t>
  </si>
  <si>
    <t>Total AC Electrical Energy Consumed by the Facility:</t>
  </si>
  <si>
    <t>Primary Energy</t>
  </si>
  <si>
    <t>Primary Energy Intensity</t>
  </si>
  <si>
    <t>% Self-Generated Consumed on Site</t>
  </si>
  <si>
    <t>Export (sale) of Self-Generated Electricity</t>
  </si>
  <si>
    <t>Self-Generated Electricity Consumed on Site</t>
  </si>
  <si>
    <t>Scope 1 Emissions Consumed on Site</t>
  </si>
  <si>
    <t>Calcined Coke Input</t>
  </si>
  <si>
    <t>Pitch Input</t>
  </si>
  <si>
    <r>
      <t>S</t>
    </r>
    <r>
      <rPr>
        <b/>
        <sz val="10"/>
        <rFont val="Times New Roman"/>
        <family val="1"/>
      </rPr>
      <t>ø</t>
    </r>
    <r>
      <rPr>
        <b/>
        <sz val="10"/>
        <rFont val="Calibri"/>
        <family val="2"/>
      </rPr>
      <t>derberg P</t>
    </r>
    <r>
      <rPr>
        <b/>
        <sz val="10"/>
        <rFont val="Calibri"/>
        <family val="2"/>
        <scheme val="minor"/>
      </rPr>
      <t>aste Production</t>
    </r>
  </si>
  <si>
    <t>Other Coke Input (inc. recycled)</t>
  </si>
  <si>
    <t>(datacheck)</t>
  </si>
  <si>
    <t>Quantity of Fuel &amp; Electricity Consumed</t>
  </si>
  <si>
    <t>Energy Intensity of Paste Production</t>
  </si>
  <si>
    <r>
      <t>Default GHG Emission Factor, kg CO</t>
    </r>
    <r>
      <rPr>
        <b/>
        <vertAlign val="subscript"/>
        <sz val="10"/>
        <rFont val="Calibri"/>
        <family val="2"/>
        <scheme val="minor"/>
      </rPr>
      <t>2</t>
    </r>
    <r>
      <rPr>
        <b/>
        <sz val="10"/>
        <rFont val="Calibri"/>
        <family val="2"/>
        <scheme val="minor"/>
      </rPr>
      <t>e/unit</t>
    </r>
  </si>
  <si>
    <t>Process Direct Emissions Intensity:</t>
  </si>
  <si>
    <t>Process Indirect Emissions Intensity:</t>
  </si>
  <si>
    <r>
      <t>Gross Baked</t>
    </r>
    <r>
      <rPr>
        <b/>
        <sz val="10"/>
        <rFont val="Calibri"/>
        <family val="2"/>
      </rPr>
      <t xml:space="preserve"> Anode</t>
    </r>
    <r>
      <rPr>
        <b/>
        <sz val="10"/>
        <rFont val="Calibri"/>
        <family val="2"/>
        <scheme val="minor"/>
      </rPr>
      <t xml:space="preserve"> Production</t>
    </r>
  </si>
  <si>
    <t>t CO2e/t baked anode</t>
  </si>
  <si>
    <t>Cell Technology</t>
  </si>
  <si>
    <r>
      <t>Electricity Indirect Emissions, t CO</t>
    </r>
    <r>
      <rPr>
        <b/>
        <vertAlign val="subscript"/>
        <sz val="10"/>
        <rFont val="Calibri"/>
        <family val="2"/>
        <scheme val="minor"/>
      </rPr>
      <t>2</t>
    </r>
    <r>
      <rPr>
        <b/>
        <sz val="10"/>
        <rFont val="Calibri"/>
        <family val="2"/>
        <scheme val="minor"/>
      </rPr>
      <t>e</t>
    </r>
  </si>
  <si>
    <t>MJ/t ingot</t>
  </si>
  <si>
    <t>Energy Intensity of Ingot Casting</t>
  </si>
  <si>
    <t>Consuming processes share of...</t>
  </si>
  <si>
    <t>Other processes*</t>
  </si>
  <si>
    <r>
      <t>Process Emissions (excl. PFCs), t CO</t>
    </r>
    <r>
      <rPr>
        <b/>
        <vertAlign val="subscript"/>
        <sz val="10"/>
        <color theme="1"/>
        <rFont val="Calibri"/>
        <family val="2"/>
        <scheme val="minor"/>
      </rPr>
      <t>2</t>
    </r>
  </si>
  <si>
    <r>
      <t>Facility Power Generation Scope 1 Emissions, t CO</t>
    </r>
    <r>
      <rPr>
        <b/>
        <vertAlign val="subscript"/>
        <sz val="10"/>
        <rFont val="Calibri"/>
        <family val="2"/>
        <scheme val="minor"/>
      </rPr>
      <t>2</t>
    </r>
    <r>
      <rPr>
        <b/>
        <sz val="10"/>
        <rFont val="Calibri"/>
        <family val="2"/>
        <scheme val="minor"/>
      </rPr>
      <t>e</t>
    </r>
  </si>
  <si>
    <r>
      <t>t CO</t>
    </r>
    <r>
      <rPr>
        <vertAlign val="sub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e/t pitch</t>
    </r>
  </si>
  <si>
    <r>
      <t>Fuel Combustion  Direct Emissions,
t CO</t>
    </r>
    <r>
      <rPr>
        <b/>
        <vertAlign val="subscript"/>
        <sz val="10"/>
        <rFont val="Calibri"/>
        <family val="2"/>
        <scheme val="minor"/>
      </rPr>
      <t>2</t>
    </r>
    <r>
      <rPr>
        <b/>
        <sz val="10"/>
        <rFont val="Calibri"/>
        <family val="2"/>
        <scheme val="minor"/>
      </rPr>
      <t>e</t>
    </r>
  </si>
  <si>
    <t>Green Anodes Imported to Site</t>
  </si>
  <si>
    <t>Butts/Damaged Anodes Imported for Recycling</t>
  </si>
  <si>
    <t>Butts/Damaged Anodes Recycled Within Site</t>
  </si>
  <si>
    <t>Heavy oil</t>
  </si>
  <si>
    <t>Diesel oil</t>
  </si>
  <si>
    <t>Energy Intestity of Anode Production</t>
  </si>
  <si>
    <t>Total Process Direct Emissions:</t>
  </si>
  <si>
    <t>Liquid Aluminium Production, tonnes</t>
  </si>
  <si>
    <t>DC Electrical Energy Intensity of Electrolysis, kWh/t Al</t>
  </si>
  <si>
    <t>Prebake Only</t>
  </si>
  <si>
    <r>
      <t>S</t>
    </r>
    <r>
      <rPr>
        <b/>
        <sz val="10"/>
        <rFont val="Calibri"/>
        <family val="2"/>
      </rPr>
      <t>øderberg Only</t>
    </r>
  </si>
  <si>
    <t>Baked Anodes Imported to Site</t>
  </si>
  <si>
    <t>Net Tonnage of Anodes Used</t>
  </si>
  <si>
    <t>Net Anode Consumption</t>
  </si>
  <si>
    <t>Anode Consumption Direct Emissions</t>
  </si>
  <si>
    <r>
      <t>t CO</t>
    </r>
    <r>
      <rPr>
        <vertAlign val="subscript"/>
        <sz val="10"/>
        <rFont val="Calibri"/>
        <family val="2"/>
        <scheme val="minor"/>
      </rPr>
      <t>2</t>
    </r>
  </si>
  <si>
    <t>Paste Consumption Direct Emissions</t>
  </si>
  <si>
    <t>Anode Paste Exported from Site</t>
  </si>
  <si>
    <t>Anode Paste Imported to Site</t>
  </si>
  <si>
    <t>Anode Paste Used</t>
  </si>
  <si>
    <t>Net Paste Consumption</t>
  </si>
  <si>
    <r>
      <t>t CO</t>
    </r>
    <r>
      <rPr>
        <sz val="10"/>
        <rFont val="Calibri"/>
        <family val="2"/>
        <scheme val="minor"/>
      </rPr>
      <t>e/t Al</t>
    </r>
  </si>
  <si>
    <t>Total Process Direct Emissions (ex PFCs)</t>
  </si>
  <si>
    <t>Emissions Intensity:</t>
  </si>
  <si>
    <t>Cast Metal Production</t>
  </si>
  <si>
    <t>Electrolysis Metal Input</t>
  </si>
  <si>
    <t>Remelt Ingot Input</t>
  </si>
  <si>
    <t>Scrap Input (exc run-around)</t>
  </si>
  <si>
    <t>Alloy Additives</t>
  </si>
  <si>
    <r>
      <t>Process Direct Emissions, t CO</t>
    </r>
    <r>
      <rPr>
        <b/>
        <vertAlign val="subscript"/>
        <sz val="10"/>
        <rFont val="Calibri"/>
        <family val="2"/>
        <scheme val="minor"/>
      </rPr>
      <t>2</t>
    </r>
    <r>
      <rPr>
        <b/>
        <sz val="10"/>
        <rFont val="Calibri"/>
        <family val="2"/>
        <scheme val="minor"/>
      </rPr>
      <t xml:space="preserve">
(0.235 t CO</t>
    </r>
    <r>
      <rPr>
        <b/>
        <vertAlign val="subscript"/>
        <sz val="10"/>
        <rFont val="Calibri"/>
        <family val="2"/>
        <scheme val="minor"/>
      </rPr>
      <t>2</t>
    </r>
    <r>
      <rPr>
        <b/>
        <sz val="10"/>
        <rFont val="Calibri"/>
        <family val="2"/>
        <scheme val="minor"/>
      </rPr>
      <t>/t anode)</t>
    </r>
  </si>
  <si>
    <r>
      <t>GHG Emission Factor, kg CO</t>
    </r>
    <r>
      <rPr>
        <b/>
        <vertAlign val="subscript"/>
        <sz val="10"/>
        <rFont val="Calibri"/>
        <family val="2"/>
        <scheme val="minor"/>
      </rPr>
      <t>2</t>
    </r>
    <r>
      <rPr>
        <b/>
        <sz val="10"/>
        <rFont val="Calibri"/>
        <family val="2"/>
        <scheme val="minor"/>
      </rPr>
      <t>e/kWh</t>
    </r>
  </si>
  <si>
    <t>Default values - can be changed by user</t>
  </si>
  <si>
    <t>Gross Calorific Value of Fuel</t>
  </si>
  <si>
    <t>Gross Calorific Value of Fuel, kJ/unit</t>
  </si>
  <si>
    <t>3. Processes of the facility, included in report:</t>
  </si>
  <si>
    <t>4. Reporter Name</t>
  </si>
  <si>
    <t xml:space="preserve">5. Reporter Postition: </t>
  </si>
  <si>
    <t xml:space="preserve">6. Telephone Number: </t>
  </si>
  <si>
    <t xml:space="preserve">7. Email Address: </t>
  </si>
  <si>
    <t>8. Can this plant data also be made available to  relevant regional aluminium industry associations?</t>
  </si>
  <si>
    <t>Power Source</t>
  </si>
  <si>
    <t xml:space="preserve"> Primary Energy Intensity:</t>
  </si>
  <si>
    <t>DC Electrical Energy Used in Electrolytic Process, GWh</t>
  </si>
  <si>
    <t>AC Electrical Energy Used in Electrolytic Process, GWh</t>
  </si>
  <si>
    <t>Baked Anodes Exported from Site</t>
  </si>
  <si>
    <t>Butts/Damaged Anodes Exported from Site for Recycling</t>
  </si>
  <si>
    <t>Gross Baked Anode Balance</t>
  </si>
  <si>
    <t>Gross Tonnage of Anodes Used</t>
  </si>
  <si>
    <t>Paste Balance</t>
  </si>
  <si>
    <t>AC Electrical Energy Intensity of Electrolysis, kWh/t Al</t>
  </si>
  <si>
    <t>Butts used</t>
  </si>
  <si>
    <t>Properzi wire</t>
  </si>
  <si>
    <t>Other products (please specify):</t>
  </si>
  <si>
    <t xml:space="preserve">Remelt ingots
(pigs &amp; sows)  </t>
  </si>
  <si>
    <t>Rolling &amp; extrusion ingots (homogenized)</t>
  </si>
  <si>
    <t>Liquid metal
(exported from site)</t>
  </si>
  <si>
    <r>
      <t>Fuel Combustion  Direct Emissions, t CO</t>
    </r>
    <r>
      <rPr>
        <b/>
        <vertAlign val="subscript"/>
        <sz val="10"/>
        <rFont val="Calibri"/>
        <family val="2"/>
        <scheme val="minor"/>
      </rPr>
      <t>2</t>
    </r>
    <r>
      <rPr>
        <b/>
        <sz val="10"/>
        <rFont val="Calibri"/>
        <family val="2"/>
        <scheme val="minor"/>
      </rPr>
      <t>e</t>
    </r>
  </si>
  <si>
    <t>Rolling &amp; extrusion ingots
(non-homogenized)</t>
  </si>
  <si>
    <r>
      <t xml:space="preserve">tonnes               = </t>
    </r>
    <r>
      <rPr>
        <sz val="10"/>
        <rFont val="Calibri"/>
        <family val="2"/>
      </rPr>
      <t>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</si>
</sst>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7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Calibri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rgb="FF3F3F76"/>
      <name val="Calibri"/>
      <family val="2"/>
      <scheme val="minor"/>
    </font>
    <font>
      <sz val="11"/>
      <color rgb="FFFF0000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bscript"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vertAlign val="subscript"/>
      <sz val="10"/>
      <color theme="1"/>
      <name val="Calibri"/>
      <family val="2"/>
      <scheme val="minor"/>
    </font>
    <font>
      <b/>
      <vertAlign val="subscript"/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0"/>
      <name val="Times New Roman"/>
      <family val="1"/>
    </font>
    <font>
      <b/>
      <sz val="10"/>
      <name val="Calibri"/>
      <family val="2"/>
    </font>
    <font>
      <sz val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darkUp">
        <fgColor theme="0" tint="-0.14996795556505021"/>
        <bgColor theme="9" tint="0.79998168889431442"/>
      </patternFill>
    </fill>
    <fill>
      <patternFill patternType="darkUp">
        <fgColor theme="0" tint="-0.14996795556505021"/>
        <bgColor theme="9" tint="0.79995117038483843"/>
      </patternFill>
    </fill>
    <fill>
      <patternFill patternType="solid">
        <fgColor theme="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medium">
        <color indexed="64"/>
      </left>
      <right style="thin">
        <color theme="0" tint="-0.499984740745262"/>
      </right>
      <top style="medium">
        <color indexed="64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indexed="64"/>
      </top>
      <bottom style="medium">
        <color indexed="64"/>
      </bottom>
      <diagonal/>
    </border>
    <border>
      <left style="thin">
        <color theme="0" tint="-0.49998474074526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0" fontId="2" fillId="2" borderId="2" applyNumberFormat="0" applyAlignment="0" applyProtection="0"/>
  </cellStyleXfs>
  <cellXfs count="109">
    <xf numFmtId="0" fontId="0" fillId="0" borderId="0" xfId="0"/>
    <xf numFmtId="0" fontId="4" fillId="0" borderId="0" xfId="0" applyFont="1"/>
    <xf numFmtId="0" fontId="1" fillId="0" borderId="0" xfId="1" applyBorder="1" applyAlignment="1">
      <alignment horizontal="left" vertical="center"/>
    </xf>
    <xf numFmtId="0" fontId="7" fillId="0" borderId="0" xfId="0" applyFont="1"/>
    <xf numFmtId="0" fontId="9" fillId="0" borderId="0" xfId="0" applyFont="1"/>
    <xf numFmtId="0" fontId="10" fillId="0" borderId="0" xfId="1" applyFont="1" applyBorder="1" applyAlignment="1">
      <alignment horizontal="left" vertical="center"/>
    </xf>
    <xf numFmtId="0" fontId="8" fillId="0" borderId="0" xfId="0" applyFont="1"/>
    <xf numFmtId="14" fontId="10" fillId="0" borderId="0" xfId="1" applyNumberFormat="1" applyFont="1" applyBorder="1" applyAlignment="1">
      <alignment horizontal="left" vertical="center"/>
    </xf>
    <xf numFmtId="0" fontId="3" fillId="0" borderId="0" xfId="0" applyFont="1"/>
    <xf numFmtId="3" fontId="3" fillId="3" borderId="6" xfId="0" applyNumberFormat="1" applyFont="1" applyFill="1" applyBorder="1"/>
    <xf numFmtId="0" fontId="12" fillId="0" borderId="0" xfId="0" applyFont="1" applyAlignment="1">
      <alignment horizontal="left" indent="1"/>
    </xf>
    <xf numFmtId="0" fontId="8" fillId="0" borderId="0" xfId="0" applyFont="1" applyProtection="1">
      <protection hidden="1"/>
    </xf>
    <xf numFmtId="0" fontId="9" fillId="0" borderId="0" xfId="0" quotePrefix="1" applyFont="1" applyFill="1" applyAlignment="1"/>
    <xf numFmtId="0" fontId="0" fillId="0" borderId="0" xfId="0" applyFont="1"/>
    <xf numFmtId="0" fontId="11" fillId="4" borderId="2" xfId="2" applyFont="1" applyFill="1" applyAlignment="1">
      <alignment horizontal="center"/>
    </xf>
    <xf numFmtId="0" fontId="13" fillId="0" borderId="0" xfId="0" applyFont="1"/>
    <xf numFmtId="9" fontId="13" fillId="3" borderId="6" xfId="0" applyNumberFormat="1" applyFont="1" applyFill="1" applyBorder="1"/>
    <xf numFmtId="3" fontId="13" fillId="3" borderId="6" xfId="0" applyNumberFormat="1" applyFont="1" applyFill="1" applyBorder="1"/>
    <xf numFmtId="0" fontId="14" fillId="0" borderId="0" xfId="0" applyFont="1"/>
    <xf numFmtId="0" fontId="15" fillId="0" borderId="0" xfId="0" applyFont="1"/>
    <xf numFmtId="9" fontId="13" fillId="3" borderId="9" xfId="0" applyNumberFormat="1" applyFont="1" applyFill="1" applyBorder="1"/>
    <xf numFmtId="3" fontId="13" fillId="3" borderId="9" xfId="0" applyNumberFormat="1" applyFont="1" applyFill="1" applyBorder="1"/>
    <xf numFmtId="9" fontId="13" fillId="3" borderId="10" xfId="0" applyNumberFormat="1" applyFont="1" applyFill="1" applyBorder="1"/>
    <xf numFmtId="3" fontId="13" fillId="3" borderId="11" xfId="0" applyNumberFormat="1" applyFont="1" applyFill="1" applyBorder="1"/>
    <xf numFmtId="9" fontId="13" fillId="3" borderId="11" xfId="0" applyNumberFormat="1" applyFont="1" applyFill="1" applyBorder="1"/>
    <xf numFmtId="3" fontId="13" fillId="3" borderId="12" xfId="0" applyNumberFormat="1" applyFont="1" applyFill="1" applyBorder="1"/>
    <xf numFmtId="9" fontId="13" fillId="0" borderId="0" xfId="0" applyNumberFormat="1" applyFont="1" applyFill="1" applyBorder="1"/>
    <xf numFmtId="3" fontId="13" fillId="0" borderId="0" xfId="0" applyNumberFormat="1" applyFont="1" applyFill="1" applyBorder="1"/>
    <xf numFmtId="0" fontId="14" fillId="0" borderId="0" xfId="0" applyFont="1" applyAlignment="1">
      <alignment horizontal="right"/>
    </xf>
    <xf numFmtId="3" fontId="14" fillId="3" borderId="6" xfId="0" applyNumberFormat="1" applyFont="1" applyFill="1" applyBorder="1"/>
    <xf numFmtId="9" fontId="14" fillId="3" borderId="6" xfId="0" applyNumberFormat="1" applyFont="1" applyFill="1" applyBorder="1"/>
    <xf numFmtId="0" fontId="17" fillId="0" borderId="0" xfId="0" applyFont="1"/>
    <xf numFmtId="0" fontId="17" fillId="0" borderId="0" xfId="0" applyNumberFormat="1" applyFont="1" applyAlignment="1">
      <alignment horizontal="center" vertical="center" wrapText="1"/>
    </xf>
    <xf numFmtId="0" fontId="20" fillId="0" borderId="0" xfId="0" applyFont="1" applyAlignment="1">
      <alignment horizontal="right"/>
    </xf>
    <xf numFmtId="0" fontId="17" fillId="0" borderId="0" xfId="0" applyFont="1" applyAlignment="1">
      <alignment horizontal="right"/>
    </xf>
    <xf numFmtId="0" fontId="17" fillId="0" borderId="0" xfId="0" applyFont="1" applyAlignment="1">
      <alignment horizontal="right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3" fontId="14" fillId="3" borderId="9" xfId="0" applyNumberFormat="1" applyFont="1" applyFill="1" applyBorder="1"/>
    <xf numFmtId="9" fontId="14" fillId="3" borderId="9" xfId="0" applyNumberFormat="1" applyFont="1" applyFill="1" applyBorder="1"/>
    <xf numFmtId="3" fontId="14" fillId="3" borderId="10" xfId="0" applyNumberFormat="1" applyFont="1" applyFill="1" applyBorder="1"/>
    <xf numFmtId="9" fontId="14" fillId="3" borderId="12" xfId="0" applyNumberFormat="1" applyFont="1" applyFill="1" applyBorder="1"/>
    <xf numFmtId="3" fontId="14" fillId="3" borderId="11" xfId="0" applyNumberFormat="1" applyFont="1" applyFill="1" applyBorder="1"/>
    <xf numFmtId="0" fontId="14" fillId="0" borderId="0" xfId="0" quotePrefix="1" applyFont="1"/>
    <xf numFmtId="0" fontId="14" fillId="0" borderId="0" xfId="0" applyFont="1" applyAlignment="1">
      <alignment horizontal="center" wrapText="1"/>
    </xf>
    <xf numFmtId="0" fontId="14" fillId="0" borderId="0" xfId="0" applyFont="1" applyFill="1"/>
    <xf numFmtId="0" fontId="20" fillId="0" borderId="0" xfId="0" quotePrefix="1" applyFont="1"/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20" fillId="0" borderId="0" xfId="0" quotePrefix="1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9" fontId="14" fillId="0" borderId="0" xfId="0" applyNumberFormat="1" applyFont="1"/>
    <xf numFmtId="0" fontId="14" fillId="0" borderId="0" xfId="0" applyFont="1" applyAlignment="1">
      <alignment horizontal="left" wrapText="1"/>
    </xf>
    <xf numFmtId="3" fontId="14" fillId="3" borderId="6" xfId="0" applyNumberFormat="1" applyFont="1" applyFill="1" applyBorder="1" applyAlignment="1"/>
    <xf numFmtId="0" fontId="14" fillId="0" borderId="0" xfId="0" applyFont="1" applyAlignment="1"/>
    <xf numFmtId="3" fontId="14" fillId="0" borderId="0" xfId="2" applyNumberFormat="1" applyFont="1" applyFill="1" applyBorder="1" applyAlignment="1"/>
    <xf numFmtId="9" fontId="13" fillId="3" borderId="6" xfId="0" applyNumberFormat="1" applyFont="1" applyFill="1" applyBorder="1" applyAlignment="1"/>
    <xf numFmtId="0" fontId="19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0" fontId="18" fillId="0" borderId="0" xfId="0" applyFont="1" applyAlignment="1">
      <alignment horizontal="right" wrapText="1"/>
    </xf>
    <xf numFmtId="0" fontId="14" fillId="0" borderId="0" xfId="0" quotePrefix="1" applyFont="1" applyAlignment="1">
      <alignment horizontal="center"/>
    </xf>
    <xf numFmtId="0" fontId="14" fillId="0" borderId="0" xfId="0" quotePrefix="1" applyFont="1" applyAlignment="1">
      <alignment horizontal="right"/>
    </xf>
    <xf numFmtId="3" fontId="14" fillId="0" borderId="0" xfId="0" applyNumberFormat="1" applyFont="1"/>
    <xf numFmtId="0" fontId="20" fillId="0" borderId="0" xfId="0" quotePrefix="1" applyFont="1" applyAlignment="1">
      <alignment horizontal="center" vertical="center" wrapText="1"/>
    </xf>
    <xf numFmtId="0" fontId="14" fillId="0" borderId="0" xfId="0" applyFont="1" applyAlignment="1">
      <alignment vertical="justify"/>
    </xf>
    <xf numFmtId="0" fontId="20" fillId="0" borderId="0" xfId="0" applyFont="1" applyAlignment="1">
      <alignment vertical="justify"/>
    </xf>
    <xf numFmtId="3" fontId="14" fillId="3" borderId="6" xfId="0" applyNumberFormat="1" applyFont="1" applyFill="1" applyBorder="1" applyAlignment="1">
      <alignment vertical="justify"/>
    </xf>
    <xf numFmtId="0" fontId="20" fillId="0" borderId="0" xfId="0" applyFont="1" applyAlignment="1">
      <alignment horizontal="right" vertical="center"/>
    </xf>
    <xf numFmtId="4" fontId="14" fillId="3" borderId="6" xfId="0" applyNumberFormat="1" applyFont="1" applyFill="1" applyBorder="1" applyAlignment="1"/>
    <xf numFmtId="3" fontId="14" fillId="0" borderId="0" xfId="0" applyNumberFormat="1" applyFont="1" applyAlignment="1"/>
    <xf numFmtId="4" fontId="14" fillId="3" borderId="6" xfId="0" applyNumberFormat="1" applyFont="1" applyFill="1" applyBorder="1" applyAlignment="1">
      <alignment vertical="justify"/>
    </xf>
    <xf numFmtId="3" fontId="20" fillId="0" borderId="0" xfId="0" applyNumberFormat="1" applyFont="1" applyAlignment="1">
      <alignment wrapText="1"/>
    </xf>
    <xf numFmtId="3" fontId="20" fillId="0" borderId="0" xfId="0" applyNumberFormat="1" applyFont="1" applyAlignment="1">
      <alignment horizontal="center"/>
    </xf>
    <xf numFmtId="4" fontId="14" fillId="3" borderId="6" xfId="0" applyNumberFormat="1" applyFont="1" applyFill="1" applyBorder="1"/>
    <xf numFmtId="3" fontId="20" fillId="0" borderId="0" xfId="0" applyNumberFormat="1" applyFont="1" applyAlignment="1"/>
    <xf numFmtId="0" fontId="11" fillId="6" borderId="2" xfId="2" applyFont="1" applyFill="1" applyAlignment="1">
      <alignment horizontal="center"/>
    </xf>
    <xf numFmtId="0" fontId="15" fillId="0" borderId="0" xfId="0" applyFont="1" applyFill="1"/>
    <xf numFmtId="0" fontId="19" fillId="0" borderId="0" xfId="0" applyFont="1" applyAlignment="1">
      <alignment horizontal="left"/>
    </xf>
    <xf numFmtId="0" fontId="14" fillId="0" borderId="0" xfId="0" applyFont="1" applyAlignment="1">
      <alignment horizontal="center"/>
    </xf>
    <xf numFmtId="3" fontId="14" fillId="7" borderId="6" xfId="0" applyNumberFormat="1" applyFont="1" applyFill="1" applyBorder="1"/>
    <xf numFmtId="3" fontId="14" fillId="7" borderId="9" xfId="0" applyNumberFormat="1" applyFont="1" applyFill="1" applyBorder="1"/>
    <xf numFmtId="3" fontId="14" fillId="3" borderId="8" xfId="0" applyNumberFormat="1" applyFont="1" applyFill="1" applyBorder="1" applyAlignment="1"/>
    <xf numFmtId="0" fontId="2" fillId="4" borderId="2" xfId="2" applyFont="1" applyFill="1" applyAlignment="1" applyProtection="1">
      <alignment horizontal="center"/>
      <protection locked="0"/>
    </xf>
    <xf numFmtId="3" fontId="14" fillId="4" borderId="2" xfId="2" applyNumberFormat="1" applyFont="1" applyFill="1" applyAlignment="1" applyProtection="1">
      <protection locked="0"/>
    </xf>
    <xf numFmtId="3" fontId="14" fillId="5" borderId="2" xfId="2" applyNumberFormat="1" applyFont="1" applyFill="1" applyAlignment="1" applyProtection="1">
      <protection locked="0"/>
    </xf>
    <xf numFmtId="3" fontId="14" fillId="5" borderId="6" xfId="0" applyNumberFormat="1" applyFont="1" applyFill="1" applyBorder="1" applyAlignment="1" applyProtection="1">
      <protection locked="0"/>
    </xf>
    <xf numFmtId="3" fontId="14" fillId="5" borderId="9" xfId="0" applyNumberFormat="1" applyFont="1" applyFill="1" applyBorder="1" applyAlignment="1" applyProtection="1">
      <protection locked="0"/>
    </xf>
    <xf numFmtId="3" fontId="14" fillId="4" borderId="3" xfId="2" applyNumberFormat="1" applyFont="1" applyFill="1" applyBorder="1" applyAlignment="1" applyProtection="1">
      <protection locked="0"/>
    </xf>
    <xf numFmtId="3" fontId="14" fillId="5" borderId="16" xfId="0" applyNumberFormat="1" applyFont="1" applyFill="1" applyBorder="1" applyAlignment="1" applyProtection="1">
      <protection locked="0"/>
    </xf>
    <xf numFmtId="2" fontId="14" fillId="5" borderId="6" xfId="0" applyNumberFormat="1" applyFont="1" applyFill="1" applyBorder="1" applyAlignment="1" applyProtection="1">
      <protection locked="0"/>
    </xf>
    <xf numFmtId="4" fontId="14" fillId="5" borderId="16" xfId="0" applyNumberFormat="1" applyFont="1" applyFill="1" applyBorder="1" applyAlignment="1" applyProtection="1">
      <protection locked="0"/>
    </xf>
    <xf numFmtId="3" fontId="14" fillId="4" borderId="2" xfId="2" applyNumberFormat="1" applyFont="1" applyFill="1" applyAlignment="1" applyProtection="1">
      <alignment vertical="justify"/>
      <protection locked="0"/>
    </xf>
    <xf numFmtId="3" fontId="14" fillId="4" borderId="3" xfId="2" applyNumberFormat="1" applyFont="1" applyFill="1" applyBorder="1" applyAlignment="1" applyProtection="1">
      <alignment vertical="justify"/>
      <protection locked="0"/>
    </xf>
    <xf numFmtId="164" fontId="14" fillId="5" borderId="6" xfId="0" applyNumberFormat="1" applyFont="1" applyFill="1" applyBorder="1" applyAlignment="1" applyProtection="1">
      <protection locked="0"/>
    </xf>
    <xf numFmtId="0" fontId="20" fillId="0" borderId="0" xfId="0" applyFont="1" applyAlignment="1">
      <alignment horizontal="center" wrapText="1"/>
    </xf>
    <xf numFmtId="0" fontId="20" fillId="0" borderId="0" xfId="0" applyFont="1" applyAlignment="1">
      <alignment horizontal="right" wrapText="1"/>
    </xf>
    <xf numFmtId="3" fontId="14" fillId="0" borderId="0" xfId="0" quotePrefix="1" applyNumberFormat="1" applyFont="1" applyFill="1" applyBorder="1" applyAlignment="1">
      <alignment horizontal="left"/>
    </xf>
    <xf numFmtId="0" fontId="2" fillId="4" borderId="2" xfId="2" applyFont="1" applyFill="1" applyAlignment="1" applyProtection="1">
      <alignment horizontal="center"/>
      <protection locked="0"/>
    </xf>
    <xf numFmtId="0" fontId="2" fillId="4" borderId="2" xfId="2" applyFont="1" applyFill="1" applyProtection="1">
      <protection locked="0"/>
    </xf>
    <xf numFmtId="0" fontId="2" fillId="4" borderId="3" xfId="2" applyFont="1" applyFill="1" applyBorder="1" applyAlignment="1" applyProtection="1">
      <alignment horizontal="center"/>
      <protection locked="0"/>
    </xf>
    <xf numFmtId="0" fontId="2" fillId="4" borderId="4" xfId="2" applyFont="1" applyFill="1" applyBorder="1" applyAlignment="1" applyProtection="1">
      <alignment horizontal="center"/>
      <protection locked="0"/>
    </xf>
    <xf numFmtId="0" fontId="2" fillId="4" borderId="5" xfId="2" applyFont="1" applyFill="1" applyBorder="1" applyAlignment="1" applyProtection="1">
      <alignment horizontal="center"/>
      <protection locked="0"/>
    </xf>
    <xf numFmtId="0" fontId="17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3" fontId="14" fillId="3" borderId="7" xfId="0" applyNumberFormat="1" applyFont="1" applyFill="1" applyBorder="1" applyAlignment="1">
      <alignment horizontal="center"/>
    </xf>
    <xf numFmtId="3" fontId="0" fillId="0" borderId="8" xfId="0" applyNumberFormat="1" applyBorder="1" applyAlignment="1">
      <alignment horizontal="center"/>
    </xf>
  </cellXfs>
  <cellStyles count="3">
    <cellStyle name="Heading 1" xfId="1" builtinId="16"/>
    <cellStyle name="Input" xfId="2" builtinId="20"/>
    <cellStyle name="Normal" xfId="0" builtinId="0"/>
  </cellStyles>
  <dxfs count="0"/>
  <tableStyles count="0" defaultTableStyle="TableStyleMedium9" defaultPivotStyle="PivotStyleLight16"/>
  <colors>
    <mruColors>
      <color rgb="FFD8D8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713842</xdr:colOff>
      <xdr:row>0</xdr:row>
      <xdr:rowOff>1440000</xdr:rowOff>
    </xdr:to>
    <xdr:pic>
      <xdr:nvPicPr>
        <xdr:cNvPr id="3" name="Picture 2" descr="IAIletterhead-logo_new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266667" cy="1440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1095375</xdr:colOff>
      <xdr:row>10</xdr:row>
      <xdr:rowOff>9525</xdr:rowOff>
    </xdr:from>
    <xdr:to>
      <xdr:col>4</xdr:col>
      <xdr:colOff>828675</xdr:colOff>
      <xdr:row>10</xdr:row>
      <xdr:rowOff>142875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CxnSpPr/>
      </xdr:nvCxnSpPr>
      <xdr:spPr>
        <a:xfrm>
          <a:off x="4838700" y="1809750"/>
          <a:ext cx="981075" cy="1333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1019175</xdr:colOff>
      <xdr:row>16</xdr:row>
      <xdr:rowOff>9525</xdr:rowOff>
    </xdr:from>
    <xdr:to>
      <xdr:col>4</xdr:col>
      <xdr:colOff>876300</xdr:colOff>
      <xdr:row>16</xdr:row>
      <xdr:rowOff>152400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CxnSpPr/>
      </xdr:nvCxnSpPr>
      <xdr:spPr>
        <a:xfrm>
          <a:off x="4762500" y="2809875"/>
          <a:ext cx="1104900" cy="1428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495300</xdr:colOff>
      <xdr:row>11</xdr:row>
      <xdr:rowOff>0</xdr:rowOff>
    </xdr:to>
    <xdr:cxnSp macro="">
      <xdr:nvCxnSpPr>
        <xdr:cNvPr id="5" name="Straight Arrow Connector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CxnSpPr/>
      </xdr:nvCxnSpPr>
      <xdr:spPr>
        <a:xfrm flipH="1">
          <a:off x="6238875" y="1962150"/>
          <a:ext cx="495300" cy="1619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16</xdr:row>
      <xdr:rowOff>9525</xdr:rowOff>
    </xdr:from>
    <xdr:to>
      <xdr:col>5</xdr:col>
      <xdr:colOff>438150</xdr:colOff>
      <xdr:row>16</xdr:row>
      <xdr:rowOff>152400</xdr:rowOff>
    </xdr:to>
    <xdr:cxnSp macro="">
      <xdr:nvCxnSpPr>
        <xdr:cNvPr id="10" name="Straight Arrow Connector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CxnSpPr/>
      </xdr:nvCxnSpPr>
      <xdr:spPr>
        <a:xfrm flipH="1">
          <a:off x="6238875" y="2962275"/>
          <a:ext cx="438150" cy="1428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13</xdr:row>
      <xdr:rowOff>76200</xdr:rowOff>
    </xdr:from>
    <xdr:to>
      <xdr:col>4</xdr:col>
      <xdr:colOff>1209675</xdr:colOff>
      <xdr:row>18</xdr:row>
      <xdr:rowOff>47625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3895725" y="2400300"/>
          <a:ext cx="2447925" cy="781050"/>
        </a:xfrm>
        <a:prstGeom prst="rect">
          <a:avLst/>
        </a:prstGeom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If GHG emission factor (kg CO2e/kWh) for each power source</a:t>
          </a:r>
          <a:r>
            <a:rPr lang="en-GB" sz="1100" baseline="0"/>
            <a:t> is unknown, please provide a total number in cell C10 and F10</a:t>
          </a:r>
          <a:endParaRPr lang="en-GB" sz="1100"/>
        </a:p>
      </xdr:txBody>
    </xdr:sp>
    <xdr:clientData/>
  </xdr:twoCellAnchor>
  <xdr:twoCellAnchor>
    <xdr:from>
      <xdr:col>4</xdr:col>
      <xdr:colOff>971550</xdr:colOff>
      <xdr:row>10</xdr:row>
      <xdr:rowOff>114300</xdr:rowOff>
    </xdr:from>
    <xdr:to>
      <xdr:col>5</xdr:col>
      <xdr:colOff>476250</xdr:colOff>
      <xdr:row>13</xdr:row>
      <xdr:rowOff>47625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CxnSpPr/>
      </xdr:nvCxnSpPr>
      <xdr:spPr>
        <a:xfrm flipV="1">
          <a:off x="6105525" y="1952625"/>
          <a:ext cx="752475" cy="4191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</xdr:col>
      <xdr:colOff>904876</xdr:colOff>
      <xdr:row>10</xdr:row>
      <xdr:rowOff>95251</xdr:rowOff>
    </xdr:from>
    <xdr:to>
      <xdr:col>3</xdr:col>
      <xdr:colOff>666750</xdr:colOff>
      <xdr:row>13</xdr:row>
      <xdr:rowOff>38100</xdr:rowOff>
    </xdr:to>
    <xdr:cxnSp macro="">
      <xdr:nvCxnSpPr>
        <xdr:cNvPr id="6" name="Straight Arrow Connector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CxnSpPr/>
      </xdr:nvCxnSpPr>
      <xdr:spPr>
        <a:xfrm flipH="1" flipV="1">
          <a:off x="3543301" y="1933576"/>
          <a:ext cx="1009649" cy="428624"/>
        </a:xfrm>
        <a:prstGeom prst="straightConnector1">
          <a:avLst/>
        </a:prstGeom>
        <a:ln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457200</xdr:colOff>
      <xdr:row>13</xdr:row>
      <xdr:rowOff>66675</xdr:rowOff>
    </xdr:from>
    <xdr:to>
      <xdr:col>6</xdr:col>
      <xdr:colOff>438150</xdr:colOff>
      <xdr:row>13</xdr:row>
      <xdr:rowOff>66675</xdr:rowOff>
    </xdr:to>
    <xdr:cxnSp macro="">
      <xdr:nvCxnSpPr>
        <xdr:cNvPr id="2" name="Straight Arrow Connector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CxnSpPr/>
      </xdr:nvCxnSpPr>
      <xdr:spPr>
        <a:xfrm>
          <a:off x="4200525" y="2724150"/>
          <a:ext cx="268605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12</xdr:row>
      <xdr:rowOff>161925</xdr:rowOff>
    </xdr:from>
    <xdr:to>
      <xdr:col>4</xdr:col>
      <xdr:colOff>1238250</xdr:colOff>
      <xdr:row>13</xdr:row>
      <xdr:rowOff>152400</xdr:rowOff>
    </xdr:to>
    <xdr:cxnSp macro="">
      <xdr:nvCxnSpPr>
        <xdr:cNvPr id="2" name="Straight Arrow Connector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CxnSpPr/>
      </xdr:nvCxnSpPr>
      <xdr:spPr>
        <a:xfrm>
          <a:off x="5010150" y="2914650"/>
          <a:ext cx="1219200" cy="1714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</xdr:col>
      <xdr:colOff>9525</xdr:colOff>
      <xdr:row>15</xdr:row>
      <xdr:rowOff>0</xdr:rowOff>
    </xdr:from>
    <xdr:to>
      <xdr:col>4</xdr:col>
      <xdr:colOff>1228725</xdr:colOff>
      <xdr:row>17</xdr:row>
      <xdr:rowOff>47626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CxnSpPr/>
      </xdr:nvCxnSpPr>
      <xdr:spPr>
        <a:xfrm flipV="1">
          <a:off x="5000625" y="3305175"/>
          <a:ext cx="1219200" cy="666751"/>
        </a:xfrm>
        <a:prstGeom prst="straightConnector1">
          <a:avLst/>
        </a:prstGeom>
        <a:ln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B2:B4" totalsRowShown="0">
  <autoFilter ref="B2:B4" xr:uid="{00000000-0009-0000-0100-000001000000}"/>
  <tableColumns count="1">
    <tableColumn id="1" xr3:uid="{00000000-0010-0000-0000-000001000000}" name="Booleian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4"/>
  <sheetViews>
    <sheetView workbookViewId="0">
      <selection activeCell="D9" sqref="D9"/>
    </sheetView>
  </sheetViews>
  <sheetFormatPr defaultRowHeight="14.5" x14ac:dyDescent="0.35"/>
  <cols>
    <col min="2" max="2" width="11" customWidth="1"/>
  </cols>
  <sheetData>
    <row r="2" spans="2:2" x14ac:dyDescent="0.35">
      <c r="B2" t="s">
        <v>44</v>
      </c>
    </row>
    <row r="3" spans="2:2" x14ac:dyDescent="0.35">
      <c r="B3" t="s">
        <v>0</v>
      </c>
    </row>
    <row r="4" spans="2:2" x14ac:dyDescent="0.35">
      <c r="B4" t="s">
        <v>1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8"/>
  <sheetViews>
    <sheetView tabSelected="1" workbookViewId="0">
      <selection activeCell="I6" sqref="I6"/>
    </sheetView>
  </sheetViews>
  <sheetFormatPr defaultColWidth="9.1796875" defaultRowHeight="14.5" x14ac:dyDescent="0.35"/>
  <cols>
    <col min="1" max="1" width="9.1796875" customWidth="1"/>
    <col min="2" max="2" width="10" customWidth="1"/>
    <col min="3" max="3" width="12.26953125" customWidth="1"/>
    <col min="5" max="5" width="12.7265625" customWidth="1"/>
    <col min="6" max="6" width="14" customWidth="1"/>
    <col min="7" max="7" width="10.1796875" customWidth="1"/>
    <col min="8" max="8" width="11.26953125" customWidth="1"/>
  </cols>
  <sheetData>
    <row r="1" spans="1:11" ht="114" customHeight="1" x14ac:dyDescent="0.35"/>
    <row r="2" spans="1:11" ht="19.5" x14ac:dyDescent="0.35">
      <c r="A2" s="2" t="s">
        <v>15</v>
      </c>
      <c r="D2" s="2"/>
      <c r="E2" s="2"/>
    </row>
    <row r="3" spans="1:11" x14ac:dyDescent="0.35">
      <c r="A3" s="5"/>
      <c r="B3" s="6"/>
      <c r="C3" s="6"/>
      <c r="D3" s="5"/>
      <c r="E3" s="5"/>
      <c r="F3" s="6"/>
      <c r="G3" s="6"/>
      <c r="H3" s="6"/>
      <c r="I3" s="6"/>
      <c r="J3" s="6"/>
      <c r="K3" s="6"/>
    </row>
    <row r="4" spans="1:11" x14ac:dyDescent="0.35">
      <c r="A4" s="6" t="s">
        <v>2</v>
      </c>
      <c r="B4" s="6"/>
      <c r="C4" s="5"/>
      <c r="D4" s="6"/>
      <c r="E4" s="6" t="s">
        <v>3</v>
      </c>
      <c r="F4" s="7"/>
      <c r="G4" s="6"/>
      <c r="H4" s="6"/>
      <c r="I4" s="6"/>
      <c r="J4" s="6"/>
      <c r="K4" s="6"/>
    </row>
    <row r="5" spans="1:11" x14ac:dyDescent="0.35">
      <c r="A5" s="6"/>
      <c r="B5" s="6"/>
      <c r="C5" s="6"/>
      <c r="D5" s="6"/>
      <c r="E5" s="6"/>
      <c r="F5" s="6"/>
      <c r="G5" s="6"/>
      <c r="H5" s="6"/>
      <c r="I5" s="6"/>
      <c r="J5" s="6"/>
      <c r="K5" s="6"/>
    </row>
    <row r="6" spans="1:11" x14ac:dyDescent="0.35">
      <c r="A6" s="8" t="s">
        <v>12</v>
      </c>
      <c r="B6" s="8"/>
      <c r="C6" s="8"/>
      <c r="D6" s="6"/>
      <c r="E6" s="6"/>
      <c r="F6" s="6"/>
      <c r="G6" s="6"/>
      <c r="H6" s="6"/>
      <c r="I6" s="6"/>
      <c r="J6" s="6"/>
      <c r="K6" s="6"/>
    </row>
    <row r="7" spans="1:11" x14ac:dyDescent="0.35">
      <c r="A7" s="8" t="s">
        <v>13</v>
      </c>
      <c r="B7" s="8"/>
      <c r="E7" s="14"/>
      <c r="F7" s="6"/>
      <c r="G7" s="6"/>
      <c r="H7" s="6"/>
      <c r="I7" s="6"/>
      <c r="J7" s="6"/>
      <c r="K7" s="6"/>
    </row>
    <row r="8" spans="1:11" x14ac:dyDescent="0.35">
      <c r="A8" s="8" t="s">
        <v>133</v>
      </c>
      <c r="B8" s="8"/>
      <c r="E8" s="76"/>
      <c r="F8" s="6"/>
      <c r="G8" s="6"/>
      <c r="H8" s="6"/>
      <c r="I8" s="6"/>
      <c r="J8" s="6"/>
      <c r="K8" s="6"/>
    </row>
    <row r="9" spans="1:11" x14ac:dyDescent="0.35">
      <c r="A9" s="8" t="s">
        <v>14</v>
      </c>
      <c r="B9" s="8"/>
      <c r="E9" s="9"/>
      <c r="F9" s="6"/>
      <c r="G9" s="6"/>
      <c r="H9" s="6"/>
      <c r="I9" s="6"/>
      <c r="J9" s="6"/>
      <c r="K9" s="6"/>
    </row>
    <row r="10" spans="1:11" x14ac:dyDescent="0.3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</row>
    <row r="11" spans="1:11" x14ac:dyDescent="0.35">
      <c r="A11" s="4" t="s">
        <v>40</v>
      </c>
      <c r="B11" s="6"/>
      <c r="C11" s="6"/>
      <c r="D11" s="6"/>
      <c r="E11" s="98"/>
      <c r="F11" s="98"/>
      <c r="G11" s="98"/>
      <c r="H11" s="98"/>
      <c r="I11" s="6"/>
      <c r="J11" s="10"/>
      <c r="K11" s="6"/>
    </row>
    <row r="12" spans="1:11" x14ac:dyDescent="0.35">
      <c r="A12" s="4"/>
      <c r="B12" s="6"/>
      <c r="C12" s="6"/>
      <c r="D12" s="6"/>
      <c r="E12" s="6"/>
      <c r="F12" s="6"/>
      <c r="G12" s="6"/>
      <c r="H12" s="6"/>
      <c r="I12" s="6"/>
      <c r="J12" s="6"/>
      <c r="K12" s="6"/>
    </row>
    <row r="13" spans="1:11" x14ac:dyDescent="0.35">
      <c r="A13" s="4" t="s">
        <v>41</v>
      </c>
      <c r="B13" s="6"/>
      <c r="C13" s="6"/>
      <c r="D13" s="6"/>
      <c r="E13" s="100"/>
      <c r="F13" s="101"/>
      <c r="G13" s="101"/>
      <c r="H13" s="102"/>
      <c r="I13" s="6"/>
      <c r="J13" s="6"/>
      <c r="K13" s="6"/>
    </row>
    <row r="14" spans="1:11" x14ac:dyDescent="0.35">
      <c r="A14" s="4"/>
      <c r="B14" s="6"/>
      <c r="C14" s="6"/>
      <c r="D14" s="6"/>
      <c r="E14" s="6"/>
      <c r="F14" s="6"/>
      <c r="G14" s="6"/>
      <c r="H14" s="6"/>
      <c r="I14" s="6"/>
      <c r="J14" s="6"/>
      <c r="K14" s="6"/>
    </row>
    <row r="15" spans="1:11" x14ac:dyDescent="0.35">
      <c r="A15" s="4" t="s">
        <v>136</v>
      </c>
      <c r="B15" s="6"/>
      <c r="C15" s="6"/>
      <c r="D15" s="6"/>
      <c r="E15" s="13" t="s">
        <v>43</v>
      </c>
      <c r="F15" s="6"/>
      <c r="G15" s="83"/>
      <c r="H15" s="12" t="str">
        <f>IF(ISBLANK(G15),"",IF(G15="Yes","Complete Worksheet 2",))</f>
        <v/>
      </c>
      <c r="J15" s="3"/>
      <c r="K15" s="6"/>
    </row>
    <row r="16" spans="1:11" x14ac:dyDescent="0.35">
      <c r="A16" s="6"/>
      <c r="B16" s="6"/>
      <c r="C16" s="6"/>
      <c r="D16" s="6"/>
      <c r="E16" s="6" t="s">
        <v>42</v>
      </c>
      <c r="F16" s="6"/>
      <c r="G16" s="83"/>
      <c r="H16" s="12" t="str">
        <f>IF(ISBLANK(G16),"",IF(G16="Yes","Complete Worksheet 4",))</f>
        <v/>
      </c>
      <c r="J16" s="6"/>
      <c r="K16" s="6"/>
    </row>
    <row r="17" spans="1:12" x14ac:dyDescent="0.35">
      <c r="A17" s="6"/>
      <c r="B17" s="6"/>
      <c r="C17" s="6"/>
      <c r="D17" s="6"/>
      <c r="E17" s="6" t="s">
        <v>23</v>
      </c>
      <c r="F17" s="6"/>
      <c r="G17" s="83"/>
      <c r="H17" s="12" t="str">
        <f>IF(ISBLANK(G17),"",IF(G17="Yes","Complete Worksheet 5",))</f>
        <v/>
      </c>
      <c r="J17" s="6"/>
      <c r="K17" s="6"/>
    </row>
    <row r="18" spans="1:12" x14ac:dyDescent="0.35">
      <c r="A18" s="6"/>
      <c r="B18" s="6"/>
      <c r="C18" s="6"/>
      <c r="D18" s="6"/>
      <c r="E18" s="6" t="s">
        <v>4</v>
      </c>
      <c r="F18" s="6"/>
      <c r="G18" s="83"/>
      <c r="H18" s="12" t="str">
        <f>IF(ISBLANK(G18),"",IF(G18="Yes","Complete Worksheet 3",))</f>
        <v/>
      </c>
      <c r="J18" s="6"/>
      <c r="K18" s="6"/>
    </row>
    <row r="19" spans="1:12" x14ac:dyDescent="0.35">
      <c r="A19" s="6"/>
      <c r="B19" s="6"/>
      <c r="C19" s="6"/>
      <c r="D19" s="6"/>
      <c r="E19" s="6" t="s">
        <v>5</v>
      </c>
      <c r="F19" s="6"/>
      <c r="G19" s="83"/>
      <c r="H19" s="12" t="str">
        <f>IF(ISBLANK(G19),"",IF(G19="Yes","Complete Worksheet 6",))</f>
        <v/>
      </c>
      <c r="J19" s="6"/>
      <c r="K19" s="6"/>
    </row>
    <row r="20" spans="1:12" x14ac:dyDescent="0.3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</row>
    <row r="21" spans="1:12" x14ac:dyDescent="0.35">
      <c r="A21" s="13" t="s">
        <v>137</v>
      </c>
      <c r="B21" s="6"/>
      <c r="C21" s="6"/>
      <c r="D21" s="6"/>
      <c r="E21" s="98"/>
      <c r="F21" s="98"/>
      <c r="G21" s="98"/>
      <c r="H21" s="98"/>
      <c r="I21" s="6"/>
      <c r="J21" s="6"/>
      <c r="K21" s="6"/>
    </row>
    <row r="22" spans="1:12" x14ac:dyDescent="0.3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</row>
    <row r="23" spans="1:12" x14ac:dyDescent="0.35">
      <c r="A23" s="13" t="s">
        <v>138</v>
      </c>
      <c r="B23" s="6"/>
      <c r="C23" s="6"/>
      <c r="D23" s="6"/>
      <c r="E23" s="99"/>
      <c r="F23" s="99"/>
      <c r="G23" s="99"/>
      <c r="H23" s="99"/>
      <c r="I23" s="6"/>
      <c r="J23" s="6"/>
      <c r="K23" s="6"/>
    </row>
    <row r="24" spans="1:12" x14ac:dyDescent="0.3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</row>
    <row r="25" spans="1:12" x14ac:dyDescent="0.35">
      <c r="A25" s="13" t="s">
        <v>139</v>
      </c>
      <c r="B25" s="6"/>
      <c r="C25" s="6"/>
      <c r="D25" s="6"/>
      <c r="E25" s="98"/>
      <c r="F25" s="98"/>
      <c r="G25" s="98"/>
      <c r="H25" s="98"/>
      <c r="I25" s="6"/>
      <c r="J25" s="6"/>
      <c r="K25" s="6"/>
    </row>
    <row r="26" spans="1:12" x14ac:dyDescent="0.3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</row>
    <row r="27" spans="1:12" x14ac:dyDescent="0.35">
      <c r="A27" s="13" t="s">
        <v>140</v>
      </c>
      <c r="B27" s="6"/>
      <c r="C27" s="6"/>
      <c r="D27" s="6"/>
      <c r="E27" s="98"/>
      <c r="F27" s="98"/>
      <c r="G27" s="98"/>
      <c r="H27" s="98"/>
      <c r="I27" s="6"/>
      <c r="J27" s="6"/>
      <c r="K27" s="6"/>
    </row>
    <row r="28" spans="1:12" x14ac:dyDescent="0.3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</row>
    <row r="29" spans="1:12" x14ac:dyDescent="0.35">
      <c r="A29" s="13" t="s">
        <v>141</v>
      </c>
      <c r="B29" s="6"/>
      <c r="C29" s="6"/>
      <c r="D29" s="6"/>
      <c r="E29" s="6"/>
      <c r="F29" s="6"/>
      <c r="G29" s="6"/>
      <c r="H29" s="6"/>
      <c r="I29" s="83" t="s">
        <v>0</v>
      </c>
      <c r="J29" s="1" t="s">
        <v>0</v>
      </c>
      <c r="K29" s="6"/>
      <c r="L29" s="6"/>
    </row>
    <row r="30" spans="1:12" x14ac:dyDescent="0.3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</row>
    <row r="31" spans="1:12" x14ac:dyDescent="0.35">
      <c r="A31" s="6" t="s">
        <v>38</v>
      </c>
      <c r="B31" s="6"/>
      <c r="C31" s="6"/>
      <c r="D31" s="6"/>
      <c r="E31" s="6"/>
      <c r="F31" s="6"/>
      <c r="G31" s="6"/>
      <c r="H31" s="6"/>
      <c r="I31" s="6"/>
      <c r="J31" s="6"/>
      <c r="K31" s="6"/>
    </row>
    <row r="32" spans="1:12" x14ac:dyDescent="0.3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</row>
    <row r="33" spans="1:11" x14ac:dyDescent="0.3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</row>
    <row r="34" spans="1:11" x14ac:dyDescent="0.3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</row>
    <row r="35" spans="1:11" x14ac:dyDescent="0.35">
      <c r="A35" s="6"/>
      <c r="B35" s="6"/>
      <c r="C35" s="6"/>
      <c r="D35" s="6"/>
      <c r="E35" s="6"/>
      <c r="F35" s="6"/>
      <c r="G35" s="11"/>
      <c r="H35" s="6"/>
      <c r="I35" s="6"/>
      <c r="J35" s="6"/>
      <c r="K35" s="6"/>
    </row>
    <row r="36" spans="1:11" x14ac:dyDescent="0.35">
      <c r="A36" s="6"/>
      <c r="B36" s="6"/>
      <c r="C36" s="6"/>
      <c r="D36" s="6"/>
      <c r="E36" s="6"/>
      <c r="F36" s="6"/>
      <c r="G36" s="11"/>
      <c r="H36" s="6"/>
      <c r="I36" s="6"/>
      <c r="J36" s="6"/>
      <c r="K36" s="6"/>
    </row>
    <row r="37" spans="1:11" x14ac:dyDescent="0.3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</row>
    <row r="38" spans="1:11" x14ac:dyDescent="0.3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</row>
  </sheetData>
  <mergeCells count="6">
    <mergeCell ref="E27:H27"/>
    <mergeCell ref="E11:H11"/>
    <mergeCell ref="E21:H21"/>
    <mergeCell ref="E23:H23"/>
    <mergeCell ref="E25:H25"/>
    <mergeCell ref="E13:H13"/>
  </mergeCell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promptTitle="Please select..." xr:uid="{00000000-0002-0000-0100-000000000000}">
          <x14:formula1>
            <xm:f>'Reference values'!$B$3:$B$4</xm:f>
          </x14:formula1>
          <xm:sqref>I29 G15:G19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L30"/>
  <sheetViews>
    <sheetView workbookViewId="0">
      <selection activeCell="C26" sqref="C26"/>
    </sheetView>
  </sheetViews>
  <sheetFormatPr defaultColWidth="18.7265625" defaultRowHeight="13" x14ac:dyDescent="0.3"/>
  <cols>
    <col min="1" max="1" width="18.7265625" style="15" customWidth="1"/>
    <col min="2" max="16384" width="18.7265625" style="15"/>
  </cols>
  <sheetData>
    <row r="2" spans="2:9" ht="26" x14ac:dyDescent="0.3">
      <c r="B2" s="31" t="s">
        <v>25</v>
      </c>
      <c r="C2" s="32" t="s">
        <v>58</v>
      </c>
      <c r="D2" s="32" t="s">
        <v>57</v>
      </c>
      <c r="E2" s="32" t="s">
        <v>55</v>
      </c>
      <c r="F2" s="32" t="s">
        <v>56</v>
      </c>
    </row>
    <row r="3" spans="2:9" x14ac:dyDescent="0.3">
      <c r="B3" s="59" t="s">
        <v>8</v>
      </c>
      <c r="C3" s="16">
        <f>IF($D$10&gt;0,D3/$D$10,)</f>
        <v>0</v>
      </c>
      <c r="D3" s="17">
        <f>'2 - Self-Generated Power'!$C$15*'2 - Self-Generated Power'!C3</f>
        <v>0</v>
      </c>
      <c r="E3" s="16">
        <f t="shared" ref="E3:E9" si="0">IF($F$10&gt;0,F3/$F$10,)</f>
        <v>0</v>
      </c>
      <c r="F3" s="17">
        <f>'1 - Power Import'!C3</f>
        <v>0</v>
      </c>
    </row>
    <row r="4" spans="2:9" x14ac:dyDescent="0.3">
      <c r="B4" s="59" t="s">
        <v>60</v>
      </c>
      <c r="C4" s="16">
        <f t="shared" ref="C4:C9" si="1">IF($D$10&gt;0,D4/$D$10,)</f>
        <v>0</v>
      </c>
      <c r="D4" s="17">
        <f>'2 - Self-Generated Power'!$C$15*'2 - Self-Generated Power'!C4</f>
        <v>0</v>
      </c>
      <c r="E4" s="16">
        <f t="shared" si="0"/>
        <v>0</v>
      </c>
      <c r="F4" s="17">
        <f>'1 - Power Import'!C4</f>
        <v>0</v>
      </c>
    </row>
    <row r="5" spans="2:9" x14ac:dyDescent="0.3">
      <c r="B5" s="59" t="s">
        <v>9</v>
      </c>
      <c r="C5" s="16">
        <f t="shared" si="1"/>
        <v>0</v>
      </c>
      <c r="D5" s="17">
        <f>'2 - Self-Generated Power'!$C$15*'2 - Self-Generated Power'!C5</f>
        <v>0</v>
      </c>
      <c r="E5" s="16">
        <f t="shared" si="0"/>
        <v>0</v>
      </c>
      <c r="F5" s="17">
        <f>'1 - Power Import'!C5</f>
        <v>0</v>
      </c>
    </row>
    <row r="6" spans="2:9" x14ac:dyDescent="0.3">
      <c r="B6" s="58" t="s">
        <v>39</v>
      </c>
      <c r="C6" s="16">
        <f t="shared" si="1"/>
        <v>0</v>
      </c>
      <c r="D6" s="17">
        <f>'2 - Self-Generated Power'!$C$15*'2 - Self-Generated Power'!C6</f>
        <v>0</v>
      </c>
      <c r="E6" s="16">
        <f t="shared" si="0"/>
        <v>0</v>
      </c>
      <c r="F6" s="17">
        <f>'1 - Power Import'!C6</f>
        <v>0</v>
      </c>
    </row>
    <row r="7" spans="2:9" x14ac:dyDescent="0.3">
      <c r="B7" s="59" t="s">
        <v>6</v>
      </c>
      <c r="C7" s="16">
        <f t="shared" si="1"/>
        <v>0</v>
      </c>
      <c r="D7" s="17">
        <f>'2 - Self-Generated Power'!$C$15*'2 - Self-Generated Power'!C7</f>
        <v>0</v>
      </c>
      <c r="E7" s="16">
        <f t="shared" si="0"/>
        <v>0</v>
      </c>
      <c r="F7" s="17">
        <f>'1 - Power Import'!C7</f>
        <v>0</v>
      </c>
    </row>
    <row r="8" spans="2:9" s="19" customFormat="1" x14ac:dyDescent="0.3">
      <c r="B8" s="59" t="s">
        <v>11</v>
      </c>
      <c r="C8" s="16">
        <f t="shared" si="1"/>
        <v>0</v>
      </c>
      <c r="D8" s="17">
        <f>'2 - Self-Generated Power'!$C$15*'2 - Self-Generated Power'!C8</f>
        <v>0</v>
      </c>
      <c r="E8" s="16">
        <f t="shared" si="0"/>
        <v>0</v>
      </c>
      <c r="F8" s="17">
        <f>'1 - Power Import'!C8</f>
        <v>0</v>
      </c>
    </row>
    <row r="9" spans="2:9" ht="13.5" thickBot="1" x14ac:dyDescent="0.35">
      <c r="B9" s="59" t="s">
        <v>7</v>
      </c>
      <c r="C9" s="20">
        <f t="shared" si="1"/>
        <v>0</v>
      </c>
      <c r="D9" s="21">
        <f>'2 - Self-Generated Power'!$C$15*'2 - Self-Generated Power'!C9</f>
        <v>0</v>
      </c>
      <c r="E9" s="20">
        <f t="shared" si="0"/>
        <v>0</v>
      </c>
      <c r="F9" s="21">
        <f>'1 - Power Import'!C9</f>
        <v>0</v>
      </c>
    </row>
    <row r="10" spans="2:9" ht="13.5" thickBot="1" x14ac:dyDescent="0.35">
      <c r="B10" s="34" t="s">
        <v>46</v>
      </c>
      <c r="C10" s="22">
        <f>SUM(C3:C8)</f>
        <v>0</v>
      </c>
      <c r="D10" s="23">
        <f>SUM(D3:D9)</f>
        <v>0</v>
      </c>
      <c r="E10" s="24">
        <f>SUM(E3:E8)</f>
        <v>0</v>
      </c>
      <c r="F10" s="25">
        <f>SUM(F3:F9)</f>
        <v>0</v>
      </c>
    </row>
    <row r="11" spans="2:9" x14ac:dyDescent="0.3">
      <c r="C11" s="26"/>
      <c r="D11" s="27"/>
      <c r="E11" s="26"/>
      <c r="F11" s="27"/>
    </row>
    <row r="12" spans="2:9" x14ac:dyDescent="0.3">
      <c r="B12" s="18"/>
      <c r="C12" s="26"/>
      <c r="D12" s="33" t="s">
        <v>73</v>
      </c>
      <c r="E12" s="29">
        <f>D10+F10</f>
        <v>0</v>
      </c>
      <c r="F12" s="27" t="s">
        <v>22</v>
      </c>
    </row>
    <row r="13" spans="2:9" x14ac:dyDescent="0.3">
      <c r="B13" s="18"/>
      <c r="C13" s="26"/>
      <c r="D13" s="33" t="s">
        <v>74</v>
      </c>
      <c r="E13" s="29">
        <f>'1 - Power Import'!E10+'2 - Self-Generated Power'!H14</f>
        <v>0</v>
      </c>
      <c r="F13" s="27" t="s">
        <v>21</v>
      </c>
    </row>
    <row r="14" spans="2:9" x14ac:dyDescent="0.3">
      <c r="B14" s="18"/>
      <c r="C14" s="26"/>
      <c r="D14" s="33" t="s">
        <v>75</v>
      </c>
      <c r="E14" s="29">
        <f>IF(E12&gt;0,(E13/E12)*1000,)</f>
        <v>0</v>
      </c>
      <c r="F14" s="27" t="s">
        <v>26</v>
      </c>
    </row>
    <row r="16" spans="2:9" ht="15" customHeight="1" x14ac:dyDescent="0.4">
      <c r="C16" s="34" t="s">
        <v>59</v>
      </c>
      <c r="D16" s="29">
        <f>'2 - Self-Generated Power'!C16</f>
        <v>0</v>
      </c>
      <c r="E16" s="18" t="s">
        <v>53</v>
      </c>
      <c r="F16" s="29">
        <f>'1 - Power Import'!G10</f>
        <v>0</v>
      </c>
      <c r="G16" s="18" t="s">
        <v>53</v>
      </c>
      <c r="I16" s="18"/>
    </row>
    <row r="18" spans="2:12" ht="15" x14ac:dyDescent="0.4">
      <c r="D18" s="34" t="s">
        <v>46</v>
      </c>
      <c r="E18" s="29">
        <f>D16+F16</f>
        <v>0</v>
      </c>
      <c r="F18" s="18" t="s">
        <v>53</v>
      </c>
    </row>
    <row r="20" spans="2:12" ht="15" x14ac:dyDescent="0.4">
      <c r="D20" s="34" t="s">
        <v>61</v>
      </c>
      <c r="E20" s="74">
        <f>IF(E12&gt;0,E18/(E12*1000),)</f>
        <v>0</v>
      </c>
      <c r="F20" s="18" t="s">
        <v>54</v>
      </c>
    </row>
    <row r="22" spans="2:12" s="38" customFormat="1" ht="28" x14ac:dyDescent="0.35">
      <c r="B22" s="35" t="s">
        <v>96</v>
      </c>
      <c r="C22" s="105" t="s">
        <v>65</v>
      </c>
      <c r="D22" s="106"/>
      <c r="E22" s="105" t="s">
        <v>66</v>
      </c>
      <c r="F22" s="104"/>
      <c r="G22" s="36" t="s">
        <v>62</v>
      </c>
      <c r="H22" s="37" t="s">
        <v>98</v>
      </c>
      <c r="I22" s="103" t="s">
        <v>63</v>
      </c>
      <c r="J22" s="104"/>
      <c r="K22" s="105" t="s">
        <v>64</v>
      </c>
      <c r="L22" s="104"/>
    </row>
    <row r="23" spans="2:12" x14ac:dyDescent="0.3">
      <c r="B23" s="59" t="s">
        <v>49</v>
      </c>
      <c r="C23" s="29">
        <f>'4 - Søderberg Paste Production'!D19/10^6</f>
        <v>0</v>
      </c>
      <c r="D23" s="30">
        <f>IF($C$28&gt;0,C23/$C$28,)</f>
        <v>0</v>
      </c>
      <c r="E23" s="29">
        <f>'4 - Søderberg Paste Production'!G20</f>
        <v>0</v>
      </c>
      <c r="F23" s="30">
        <f>IF($E$28&gt;0,E23/$E$28,)</f>
        <v>0</v>
      </c>
      <c r="G23" s="29">
        <f>'4 - Søderberg Paste Production'!I20</f>
        <v>0</v>
      </c>
      <c r="H23" s="80"/>
      <c r="I23" s="29">
        <f>SUM(G23:H23)</f>
        <v>0</v>
      </c>
      <c r="J23" s="30">
        <f>IF($I$28&gt;0,I23/$I$28,)</f>
        <v>0</v>
      </c>
      <c r="K23" s="29">
        <f>C23*$E$20*1000</f>
        <v>0</v>
      </c>
      <c r="L23" s="30">
        <f>IF($K$28&gt;0,K23/$K$28,)</f>
        <v>0</v>
      </c>
    </row>
    <row r="24" spans="2:12" x14ac:dyDescent="0.3">
      <c r="B24" s="59" t="s">
        <v>50</v>
      </c>
      <c r="C24" s="29">
        <f>'5 - Prebaked Anode Production'!D24/10^6</f>
        <v>0</v>
      </c>
      <c r="D24" s="30">
        <f>IF($C$28&gt;0,C24/$C$28,)</f>
        <v>0</v>
      </c>
      <c r="E24" s="29">
        <f>'5 - Prebaked Anode Production'!G25</f>
        <v>0</v>
      </c>
      <c r="F24" s="30">
        <f>IF($E$28&gt;0,E24/$E$28,)</f>
        <v>0</v>
      </c>
      <c r="G24" s="29">
        <f>'5 - Prebaked Anode Production'!I25</f>
        <v>0</v>
      </c>
      <c r="H24" s="29">
        <f>'5 - Prebaked Anode Production'!J25</f>
        <v>0</v>
      </c>
      <c r="I24" s="29">
        <f t="shared" ref="I24:I27" si="2">SUM(G24:H24)</f>
        <v>0</v>
      </c>
      <c r="J24" s="30">
        <f t="shared" ref="J24:J27" si="3">IF($I$28&gt;0,I24/$I$28,)</f>
        <v>0</v>
      </c>
      <c r="K24" s="29">
        <f t="shared" ref="K24:K26" si="4">C24*$E$20*1000</f>
        <v>0</v>
      </c>
      <c r="L24" s="30">
        <f>IF($K$28&gt;0,K24/$K$28,)</f>
        <v>0</v>
      </c>
    </row>
    <row r="25" spans="2:12" x14ac:dyDescent="0.3">
      <c r="B25" s="59" t="s">
        <v>4</v>
      </c>
      <c r="C25" s="29">
        <f>'3 - Electrolysis'!F7</f>
        <v>0</v>
      </c>
      <c r="D25" s="30">
        <f>IF($C$28&gt;0,C25/$C$28,)</f>
        <v>0</v>
      </c>
      <c r="E25" s="29">
        <f>C25*E14/1000</f>
        <v>0</v>
      </c>
      <c r="F25" s="30">
        <f>IF($E$28&gt;0,E25/$E$28,)</f>
        <v>0</v>
      </c>
      <c r="G25" s="80"/>
      <c r="H25" s="29">
        <f>'3 - Electrolysis'!G15</f>
        <v>0</v>
      </c>
      <c r="I25" s="29">
        <f t="shared" si="2"/>
        <v>0</v>
      </c>
      <c r="J25" s="30">
        <f t="shared" si="3"/>
        <v>0</v>
      </c>
      <c r="K25" s="29">
        <f>C25*$E$20*1000</f>
        <v>0</v>
      </c>
      <c r="L25" s="30">
        <f>IF($K$28&gt;0,K25/$K$28,)</f>
        <v>0</v>
      </c>
    </row>
    <row r="26" spans="2:12" x14ac:dyDescent="0.3">
      <c r="B26" s="59" t="s">
        <v>5</v>
      </c>
      <c r="C26" s="29">
        <f>'6 - Ingot Casting'!D16/10^6</f>
        <v>0</v>
      </c>
      <c r="D26" s="30">
        <f>IF($C$28&gt;0,C26/$C$28,)</f>
        <v>0</v>
      </c>
      <c r="E26" s="29">
        <f>'6 - Ingot Casting'!G17</f>
        <v>0</v>
      </c>
      <c r="F26" s="30">
        <f>IF($E$28&gt;0,E26/$E$28,)</f>
        <v>0</v>
      </c>
      <c r="G26" s="29">
        <f>'6 - Ingot Casting'!I17</f>
        <v>0</v>
      </c>
      <c r="H26" s="80"/>
      <c r="I26" s="29">
        <f t="shared" si="2"/>
        <v>0</v>
      </c>
      <c r="J26" s="30">
        <f t="shared" si="3"/>
        <v>0</v>
      </c>
      <c r="K26" s="29">
        <f t="shared" si="4"/>
        <v>0</v>
      </c>
      <c r="L26" s="30">
        <f>IF($K$28&gt;0,K26/$K$28,)</f>
        <v>0</v>
      </c>
    </row>
    <row r="27" spans="2:12" ht="13.5" thickBot="1" x14ac:dyDescent="0.35">
      <c r="B27" s="60" t="s">
        <v>97</v>
      </c>
      <c r="C27" s="39">
        <f>E12-SUM(C23:C26)</f>
        <v>0</v>
      </c>
      <c r="D27" s="40">
        <f>IF($C$28&gt;0,C27/$C$28,)</f>
        <v>0</v>
      </c>
      <c r="E27" s="39">
        <f>E13-SUM(E23:E26)</f>
        <v>0</v>
      </c>
      <c r="F27" s="40">
        <f>IF($E$28&gt;0,E27/$E$28,)</f>
        <v>0</v>
      </c>
      <c r="G27" s="81"/>
      <c r="H27" s="81"/>
      <c r="I27" s="39">
        <f t="shared" si="2"/>
        <v>0</v>
      </c>
      <c r="J27" s="30">
        <f t="shared" si="3"/>
        <v>0</v>
      </c>
      <c r="K27" s="29">
        <f>C27*$E$20*1000</f>
        <v>0</v>
      </c>
      <c r="L27" s="40">
        <f>IF($K$28&gt;0,K27/$K$28,)</f>
        <v>0</v>
      </c>
    </row>
    <row r="28" spans="2:12" ht="13.5" thickBot="1" x14ac:dyDescent="0.35">
      <c r="B28" s="34" t="s">
        <v>46</v>
      </c>
      <c r="C28" s="41">
        <f>SUM(C23:C27)</f>
        <v>0</v>
      </c>
      <c r="D28" s="42">
        <f>SUM(D23:D27)</f>
        <v>0</v>
      </c>
      <c r="E28" s="41">
        <f t="shared" ref="E28:K28" si="5">SUM(E23:E27)</f>
        <v>0</v>
      </c>
      <c r="F28" s="42">
        <f>SUM(F23:F27)</f>
        <v>0</v>
      </c>
      <c r="G28" s="41">
        <f t="shared" si="5"/>
        <v>0</v>
      </c>
      <c r="H28" s="43">
        <f t="shared" si="5"/>
        <v>0</v>
      </c>
      <c r="I28" s="43">
        <f t="shared" si="5"/>
        <v>0</v>
      </c>
      <c r="J28" s="42">
        <f t="shared" si="5"/>
        <v>0</v>
      </c>
      <c r="K28" s="41">
        <f t="shared" si="5"/>
        <v>0</v>
      </c>
      <c r="L28" s="42">
        <f>SUM(L23:L27)</f>
        <v>0</v>
      </c>
    </row>
    <row r="30" spans="2:12" x14ac:dyDescent="0.3">
      <c r="B30" s="15" t="s">
        <v>52</v>
      </c>
    </row>
  </sheetData>
  <sheetProtection algorithmName="SHA-512" hashValue="S+i6AOIjqmL7iVAe97zDoTx/VLjWYNInBcVy6XR8HJWLjbDLnDoASXmAGH4deS1h4Nw47AOHIqPL3e/GzyGa7w==" saltValue="nu4DvcPsI9ExOpvdDkw5JA==" spinCount="100000" sheet="1" objects="1" scenarios="1"/>
  <mergeCells count="4">
    <mergeCell ref="I22:J22"/>
    <mergeCell ref="K22:L22"/>
    <mergeCell ref="C22:D22"/>
    <mergeCell ref="E22:F22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G12"/>
  <sheetViews>
    <sheetView workbookViewId="0">
      <selection activeCell="C26" sqref="C26"/>
    </sheetView>
  </sheetViews>
  <sheetFormatPr defaultColWidth="18.7265625" defaultRowHeight="13" x14ac:dyDescent="0.3"/>
  <cols>
    <col min="1" max="1" width="18.7265625" style="18"/>
    <col min="2" max="2" width="20.81640625" style="18" customWidth="1"/>
    <col min="3" max="4" width="18.7265625" style="18"/>
    <col min="5" max="5" width="18.7265625" style="46"/>
    <col min="6" max="16384" width="18.7265625" style="18"/>
  </cols>
  <sheetData>
    <row r="2" spans="1:7" s="51" customFormat="1" ht="28" x14ac:dyDescent="0.35">
      <c r="A2" s="50"/>
      <c r="B2" s="51" t="s">
        <v>142</v>
      </c>
      <c r="C2" s="32" t="s">
        <v>56</v>
      </c>
      <c r="D2" s="48" t="s">
        <v>67</v>
      </c>
      <c r="E2" s="48" t="s">
        <v>66</v>
      </c>
      <c r="F2" s="48" t="s">
        <v>132</v>
      </c>
      <c r="G2" s="48" t="s">
        <v>68</v>
      </c>
    </row>
    <row r="3" spans="1:7" x14ac:dyDescent="0.3">
      <c r="B3" s="58" t="s">
        <v>8</v>
      </c>
      <c r="C3" s="84"/>
      <c r="D3" s="86">
        <v>13000</v>
      </c>
      <c r="E3" s="54">
        <f>(D3*C3)/1000</f>
        <v>0</v>
      </c>
      <c r="F3" s="90">
        <v>0.9</v>
      </c>
      <c r="G3" s="54">
        <f>F3*C3*1000</f>
        <v>0</v>
      </c>
    </row>
    <row r="4" spans="1:7" x14ac:dyDescent="0.3">
      <c r="B4" s="58" t="s">
        <v>60</v>
      </c>
      <c r="C4" s="84"/>
      <c r="D4" s="86">
        <v>10000</v>
      </c>
      <c r="E4" s="54">
        <f>(D4*C4)/1000</f>
        <v>0</v>
      </c>
      <c r="F4" s="90">
        <v>0.5</v>
      </c>
      <c r="G4" s="54">
        <f>F4*C4*1000</f>
        <v>0</v>
      </c>
    </row>
    <row r="5" spans="1:7" ht="14.25" customHeight="1" x14ac:dyDescent="0.3">
      <c r="B5" s="58" t="s">
        <v>9</v>
      </c>
      <c r="C5" s="84"/>
      <c r="D5" s="86">
        <v>11000</v>
      </c>
      <c r="E5" s="54">
        <f t="shared" ref="E5:E9" si="0">(D5*C5)/1000</f>
        <v>0</v>
      </c>
      <c r="F5" s="90">
        <v>0.75</v>
      </c>
      <c r="G5" s="54">
        <f t="shared" ref="G5:G9" si="1">F5*C5*1000</f>
        <v>0</v>
      </c>
    </row>
    <row r="6" spans="1:7" x14ac:dyDescent="0.3">
      <c r="B6" s="58" t="s">
        <v>45</v>
      </c>
      <c r="C6" s="84"/>
      <c r="D6" s="86">
        <v>3600</v>
      </c>
      <c r="E6" s="54">
        <f t="shared" si="0"/>
        <v>0</v>
      </c>
      <c r="F6" s="90">
        <v>0.5</v>
      </c>
      <c r="G6" s="54">
        <f t="shared" si="1"/>
        <v>0</v>
      </c>
    </row>
    <row r="7" spans="1:7" x14ac:dyDescent="0.3">
      <c r="B7" s="58" t="s">
        <v>6</v>
      </c>
      <c r="C7" s="84"/>
      <c r="D7" s="86">
        <v>3600</v>
      </c>
      <c r="E7" s="54">
        <f t="shared" si="0"/>
        <v>0</v>
      </c>
      <c r="F7" s="90">
        <v>0.05</v>
      </c>
      <c r="G7" s="54">
        <f t="shared" si="1"/>
        <v>0</v>
      </c>
    </row>
    <row r="8" spans="1:7" x14ac:dyDescent="0.3">
      <c r="B8" s="58" t="s">
        <v>11</v>
      </c>
      <c r="C8" s="84"/>
      <c r="D8" s="87">
        <v>3600</v>
      </c>
      <c r="E8" s="54">
        <f t="shared" si="0"/>
        <v>0</v>
      </c>
      <c r="F8" s="90">
        <v>0.05</v>
      </c>
      <c r="G8" s="54">
        <f t="shared" si="1"/>
        <v>0</v>
      </c>
    </row>
    <row r="9" spans="1:7" ht="13.5" thickBot="1" x14ac:dyDescent="0.35">
      <c r="B9" s="58" t="s">
        <v>7</v>
      </c>
      <c r="C9" s="88"/>
      <c r="D9" s="86">
        <v>3600</v>
      </c>
      <c r="E9" s="82">
        <f t="shared" si="0"/>
        <v>0</v>
      </c>
      <c r="F9" s="90">
        <v>0.05</v>
      </c>
      <c r="G9" s="54">
        <f t="shared" si="1"/>
        <v>0</v>
      </c>
    </row>
    <row r="10" spans="1:7" ht="13.5" thickBot="1" x14ac:dyDescent="0.35">
      <c r="B10" s="33" t="s">
        <v>46</v>
      </c>
      <c r="C10" s="89">
        <f>SUM(C3:C9)</f>
        <v>0</v>
      </c>
      <c r="D10" s="33"/>
      <c r="E10" s="54">
        <f>SUM(E3:E9)</f>
        <v>0</v>
      </c>
      <c r="F10" s="91">
        <f>IFERROR((SUMPRODUCT(C3:C9,F3:F9)/C10),)</f>
        <v>0</v>
      </c>
      <c r="G10" s="54">
        <f>F10*C10*1000</f>
        <v>0</v>
      </c>
    </row>
    <row r="11" spans="1:7" x14ac:dyDescent="0.3">
      <c r="F11" s="33"/>
    </row>
    <row r="12" spans="1:7" x14ac:dyDescent="0.3">
      <c r="A12" s="78"/>
      <c r="E12" s="58"/>
      <c r="F12" s="46"/>
    </row>
  </sheetData>
  <sheetProtection algorithmName="SHA-512" hashValue="Yjz75UZ74q9Y3nShr8ZFDOi4/C79aqjYd81mnxeiLyWW74Ap+OJ9lukRSuyNUrsktv5/D893sVSKAojqQU+cQg==" saltValue="Km8Hsn0CUKOXsfmnkquTBw==" spinCount="100000" sheet="1" objects="1" scenarios="1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autoPageBreaks="0"/>
  </sheetPr>
  <dimension ref="A2:K17"/>
  <sheetViews>
    <sheetView zoomScaleNormal="100" workbookViewId="0">
      <selection activeCell="D29" sqref="D29"/>
    </sheetView>
  </sheetViews>
  <sheetFormatPr defaultColWidth="18.7265625" defaultRowHeight="13" x14ac:dyDescent="0.3"/>
  <cols>
    <col min="1" max="4" width="18.7265625" style="18"/>
    <col min="5" max="5" width="3.1796875" style="18" bestFit="1" customWidth="1"/>
    <col min="6" max="6" width="18.7265625" style="18"/>
    <col min="7" max="7" width="7" style="18" customWidth="1"/>
    <col min="8" max="16384" width="18.7265625" style="18"/>
  </cols>
  <sheetData>
    <row r="2" spans="1:11" s="51" customFormat="1" ht="41" x14ac:dyDescent="0.35">
      <c r="A2" s="50"/>
      <c r="C2" s="32" t="s">
        <v>72</v>
      </c>
      <c r="D2" s="48" t="s">
        <v>16</v>
      </c>
      <c r="F2" s="48" t="s">
        <v>134</v>
      </c>
      <c r="H2" s="48" t="s">
        <v>66</v>
      </c>
      <c r="I2" s="48" t="s">
        <v>69</v>
      </c>
      <c r="J2" s="48" t="s">
        <v>99</v>
      </c>
    </row>
    <row r="3" spans="1:11" x14ac:dyDescent="0.3">
      <c r="B3" s="58" t="s">
        <v>8</v>
      </c>
      <c r="C3" s="84"/>
      <c r="D3" s="84"/>
      <c r="E3" s="55" t="s">
        <v>17</v>
      </c>
      <c r="F3" s="85">
        <v>24000</v>
      </c>
      <c r="G3" s="55" t="s">
        <v>20</v>
      </c>
      <c r="H3" s="54">
        <f>D3*F3/10^9</f>
        <v>0</v>
      </c>
      <c r="I3" s="90">
        <v>0.9</v>
      </c>
      <c r="J3" s="54">
        <f>I3*C3*1000</f>
        <v>0</v>
      </c>
    </row>
    <row r="4" spans="1:11" ht="15" customHeight="1" x14ac:dyDescent="0.3">
      <c r="B4" s="58" t="s">
        <v>60</v>
      </c>
      <c r="C4" s="84"/>
      <c r="D4" s="84"/>
      <c r="E4" s="55" t="s">
        <v>70</v>
      </c>
      <c r="F4" s="85">
        <v>38000</v>
      </c>
      <c r="G4" s="55" t="s">
        <v>71</v>
      </c>
      <c r="H4" s="54">
        <f t="shared" ref="H4:H6" si="0">D4*F4/10^9</f>
        <v>0</v>
      </c>
      <c r="I4" s="90">
        <v>0.5</v>
      </c>
      <c r="J4" s="54">
        <f>I4*C4*1000</f>
        <v>0</v>
      </c>
    </row>
    <row r="5" spans="1:11" ht="14.25" customHeight="1" x14ac:dyDescent="0.3">
      <c r="B5" s="58" t="s">
        <v>9</v>
      </c>
      <c r="C5" s="84"/>
      <c r="D5" s="84"/>
      <c r="E5" s="55" t="s">
        <v>17</v>
      </c>
      <c r="F5" s="85">
        <v>42000</v>
      </c>
      <c r="G5" s="55" t="s">
        <v>20</v>
      </c>
      <c r="H5" s="54">
        <f t="shared" si="0"/>
        <v>0</v>
      </c>
      <c r="I5" s="90">
        <v>0.75</v>
      </c>
      <c r="J5" s="54">
        <f t="shared" ref="J5:J9" si="1">I5*C5*1000</f>
        <v>0</v>
      </c>
    </row>
    <row r="6" spans="1:11" x14ac:dyDescent="0.3">
      <c r="B6" s="58" t="s">
        <v>45</v>
      </c>
      <c r="C6" s="84"/>
      <c r="D6" s="84"/>
      <c r="E6" s="55" t="s">
        <v>17</v>
      </c>
      <c r="F6" s="85">
        <v>30000</v>
      </c>
      <c r="G6" s="55" t="s">
        <v>20</v>
      </c>
      <c r="H6" s="54">
        <f t="shared" si="0"/>
        <v>0</v>
      </c>
      <c r="I6" s="90">
        <v>0.5</v>
      </c>
      <c r="J6" s="54">
        <f t="shared" si="1"/>
        <v>0</v>
      </c>
    </row>
    <row r="7" spans="1:11" x14ac:dyDescent="0.3">
      <c r="B7" s="58" t="s">
        <v>6</v>
      </c>
      <c r="C7" s="84"/>
      <c r="D7" s="56"/>
      <c r="E7" s="55"/>
      <c r="F7" s="86">
        <v>3600</v>
      </c>
      <c r="G7" s="55" t="s">
        <v>26</v>
      </c>
      <c r="H7" s="54">
        <f>C7*F7/1000</f>
        <v>0</v>
      </c>
      <c r="I7" s="90">
        <v>0.05</v>
      </c>
      <c r="J7" s="54">
        <f>I7*C7*1000</f>
        <v>0</v>
      </c>
    </row>
    <row r="8" spans="1:11" x14ac:dyDescent="0.3">
      <c r="B8" s="58" t="s">
        <v>11</v>
      </c>
      <c r="C8" s="84"/>
      <c r="D8" s="56"/>
      <c r="E8" s="55"/>
      <c r="F8" s="86">
        <v>3600</v>
      </c>
      <c r="G8" s="55" t="s">
        <v>26</v>
      </c>
      <c r="H8" s="54">
        <f>C8*F8/1000</f>
        <v>0</v>
      </c>
      <c r="I8" s="90">
        <v>0.05</v>
      </c>
      <c r="J8" s="54">
        <f t="shared" si="1"/>
        <v>0</v>
      </c>
    </row>
    <row r="9" spans="1:11" x14ac:dyDescent="0.3">
      <c r="B9" s="58" t="s">
        <v>7</v>
      </c>
      <c r="C9" s="84"/>
      <c r="D9" s="56"/>
      <c r="E9" s="55"/>
      <c r="F9" s="86">
        <v>3600</v>
      </c>
      <c r="G9" s="55" t="s">
        <v>26</v>
      </c>
      <c r="H9" s="54">
        <f>C9*F9/1000</f>
        <v>0</v>
      </c>
      <c r="I9" s="90">
        <v>0.05</v>
      </c>
      <c r="J9" s="54">
        <f t="shared" si="1"/>
        <v>0</v>
      </c>
    </row>
    <row r="10" spans="1:11" x14ac:dyDescent="0.3">
      <c r="B10" s="33" t="s">
        <v>46</v>
      </c>
      <c r="C10" s="54">
        <f>SUM(C3:C9)</f>
        <v>0</v>
      </c>
      <c r="H10" s="54">
        <f>SUM(H3:H9)</f>
        <v>0</v>
      </c>
      <c r="I10" s="63"/>
      <c r="J10" s="54">
        <f>SUM(J3:J9)</f>
        <v>0</v>
      </c>
    </row>
    <row r="11" spans="1:11" x14ac:dyDescent="0.3">
      <c r="B11" s="33"/>
      <c r="C11" s="63"/>
    </row>
    <row r="12" spans="1:11" x14ac:dyDescent="0.3">
      <c r="C12" s="70"/>
      <c r="G12" s="33" t="s">
        <v>143</v>
      </c>
      <c r="H12" s="54">
        <f>IF(C10&gt;0,H10*1000/C10,)</f>
        <v>0</v>
      </c>
      <c r="I12" s="18" t="s">
        <v>26</v>
      </c>
    </row>
    <row r="13" spans="1:11" x14ac:dyDescent="0.3">
      <c r="B13" s="33" t="s">
        <v>77</v>
      </c>
      <c r="C13" s="84"/>
      <c r="D13" s="18" t="s">
        <v>22</v>
      </c>
      <c r="H13" s="55"/>
      <c r="K13" s="45"/>
    </row>
    <row r="14" spans="1:11" x14ac:dyDescent="0.3">
      <c r="B14" s="33" t="s">
        <v>78</v>
      </c>
      <c r="C14" s="54">
        <f>C10-C13</f>
        <v>0</v>
      </c>
      <c r="D14" s="18" t="s">
        <v>22</v>
      </c>
      <c r="E14" s="52"/>
      <c r="H14" s="54">
        <f>IF(C10&gt;0,H10*(C14/C10),)</f>
        <v>0</v>
      </c>
      <c r="I14" s="18" t="s">
        <v>21</v>
      </c>
    </row>
    <row r="15" spans="1:11" x14ac:dyDescent="0.3">
      <c r="B15" s="33" t="s">
        <v>76</v>
      </c>
      <c r="C15" s="57">
        <f>IF(C10&gt;0,C14/C10,)</f>
        <v>0</v>
      </c>
    </row>
    <row r="16" spans="1:11" ht="15" x14ac:dyDescent="0.4">
      <c r="A16" s="19"/>
      <c r="B16" s="33" t="s">
        <v>79</v>
      </c>
      <c r="C16" s="54">
        <f>IF(C10&gt;0,J10*C14/C10,)</f>
        <v>0</v>
      </c>
      <c r="D16" s="46" t="s">
        <v>53</v>
      </c>
    </row>
    <row r="17" spans="3:4" x14ac:dyDescent="0.3">
      <c r="C17" s="77"/>
      <c r="D17" s="46"/>
    </row>
  </sheetData>
  <sheetProtection algorithmName="SHA-512" hashValue="Exy3sgJO2Wp/9PgusQKM7N4wxq2qgVsKarWG5zlENmeBRyzo8StbHA5vQ5AZ+UZyCKBImRZX9+Vbq5mCH74NpA==" saltValue="BZEHwe3cgakuM3ctmogwSw==" spinCount="100000" sheet="1" objects="1" scenarios="1"/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H18"/>
  <sheetViews>
    <sheetView workbookViewId="0">
      <selection activeCell="E7" sqref="E7"/>
    </sheetView>
  </sheetViews>
  <sheetFormatPr defaultColWidth="18.7265625" defaultRowHeight="13" x14ac:dyDescent="0.3"/>
  <cols>
    <col min="1" max="16384" width="18.7265625" style="18"/>
  </cols>
  <sheetData>
    <row r="2" spans="1:8" s="51" customFormat="1" ht="39" x14ac:dyDescent="0.35">
      <c r="A2" s="50"/>
      <c r="B2" s="51" t="s">
        <v>92</v>
      </c>
      <c r="C2" s="48" t="s">
        <v>109</v>
      </c>
      <c r="D2" s="48" t="s">
        <v>144</v>
      </c>
      <c r="E2" s="48" t="s">
        <v>110</v>
      </c>
      <c r="F2" s="48" t="s">
        <v>145</v>
      </c>
      <c r="G2" s="48" t="s">
        <v>151</v>
      </c>
    </row>
    <row r="3" spans="1:8" x14ac:dyDescent="0.3">
      <c r="B3" s="58" t="s">
        <v>31</v>
      </c>
      <c r="C3" s="84"/>
      <c r="D3" s="84"/>
      <c r="E3" s="54" t="str">
        <f>IF(ISBLANK(D3),"",D3*10^6/C3)</f>
        <v/>
      </c>
      <c r="F3" s="84"/>
      <c r="G3" s="54" t="str">
        <f>IF(ISBLANK(F3),"",F3*10^6/C3)</f>
        <v/>
      </c>
    </row>
    <row r="4" spans="1:8" x14ac:dyDescent="0.3">
      <c r="B4" s="58" t="s">
        <v>32</v>
      </c>
      <c r="C4" s="84"/>
      <c r="D4" s="84"/>
      <c r="E4" s="54" t="str">
        <f t="shared" ref="E4:E6" si="0">IF(ISBLANK(D4),"",D4*10^6/C4)</f>
        <v/>
      </c>
      <c r="F4" s="84"/>
      <c r="G4" s="54" t="str">
        <f t="shared" ref="G4:G6" si="1">IF(ISBLANK(F4),"",F4*10^6/C4)</f>
        <v/>
      </c>
    </row>
    <row r="5" spans="1:8" x14ac:dyDescent="0.3">
      <c r="B5" s="58" t="s">
        <v>33</v>
      </c>
      <c r="C5" s="84"/>
      <c r="D5" s="84"/>
      <c r="E5" s="54" t="str">
        <f t="shared" si="0"/>
        <v/>
      </c>
      <c r="F5" s="84"/>
      <c r="G5" s="54" t="str">
        <f t="shared" si="1"/>
        <v/>
      </c>
    </row>
    <row r="6" spans="1:8" x14ac:dyDescent="0.3">
      <c r="B6" s="58" t="s">
        <v>34</v>
      </c>
      <c r="C6" s="84"/>
      <c r="D6" s="84"/>
      <c r="E6" s="54" t="str">
        <f t="shared" si="0"/>
        <v/>
      </c>
      <c r="F6" s="84"/>
      <c r="G6" s="54" t="str">
        <f t="shared" si="1"/>
        <v/>
      </c>
    </row>
    <row r="7" spans="1:8" x14ac:dyDescent="0.3">
      <c r="B7" s="33" t="s">
        <v>46</v>
      </c>
      <c r="C7" s="54">
        <f>SUM(C3:C6)</f>
        <v>0</v>
      </c>
      <c r="D7" s="54">
        <f>SUM(D3:D6)</f>
        <v>0</v>
      </c>
      <c r="E7" s="54">
        <f>IF(D7=0,,D7*10^6/C7)</f>
        <v>0</v>
      </c>
      <c r="F7" s="54">
        <f>SUM(F3:F6)</f>
        <v>0</v>
      </c>
      <c r="G7" s="54">
        <f>IF(F7=0,,F7*10^6/C7)</f>
        <v>0</v>
      </c>
    </row>
    <row r="9" spans="1:8" x14ac:dyDescent="0.3">
      <c r="D9" s="49" t="s">
        <v>111</v>
      </c>
    </row>
    <row r="10" spans="1:8" x14ac:dyDescent="0.3">
      <c r="C10" s="33" t="s">
        <v>149</v>
      </c>
      <c r="D10" s="84"/>
      <c r="E10" s="18" t="s">
        <v>24</v>
      </c>
    </row>
    <row r="11" spans="1:8" x14ac:dyDescent="0.3">
      <c r="C11" s="33" t="s">
        <v>114</v>
      </c>
      <c r="D11" s="85">
        <f>D10-'5 - Prebaked Anode Production'!C15-'5 - Prebaked Anode Production'!C16</f>
        <v>0</v>
      </c>
      <c r="E11" s="18" t="s">
        <v>24</v>
      </c>
      <c r="G11" s="79"/>
    </row>
    <row r="12" spans="1:8" x14ac:dyDescent="0.3">
      <c r="A12" s="44"/>
      <c r="C12" s="33" t="s">
        <v>115</v>
      </c>
      <c r="D12" s="54">
        <f>IF(SUM(C3:C4)=0,,D11*1000/SUM(C3:C4))</f>
        <v>0</v>
      </c>
      <c r="E12" s="18" t="s">
        <v>35</v>
      </c>
    </row>
    <row r="13" spans="1:8" ht="15" x14ac:dyDescent="0.4">
      <c r="A13" s="44"/>
      <c r="C13" s="68" t="s">
        <v>116</v>
      </c>
      <c r="D13" s="54">
        <f>(D12/1000)*SUM(C3:C4)*0.976*44/12</f>
        <v>0</v>
      </c>
      <c r="E13" s="53" t="s">
        <v>117</v>
      </c>
    </row>
    <row r="14" spans="1:8" x14ac:dyDescent="0.3">
      <c r="C14" s="33"/>
      <c r="D14" s="70"/>
    </row>
    <row r="15" spans="1:8" ht="15" x14ac:dyDescent="0.4">
      <c r="D15" s="73" t="s">
        <v>112</v>
      </c>
      <c r="F15" s="33" t="s">
        <v>124</v>
      </c>
      <c r="G15" s="54">
        <f>D13+D18</f>
        <v>0</v>
      </c>
      <c r="H15" s="53" t="s">
        <v>117</v>
      </c>
    </row>
    <row r="16" spans="1:8" x14ac:dyDescent="0.3">
      <c r="A16" s="44"/>
      <c r="C16" s="33" t="s">
        <v>121</v>
      </c>
      <c r="D16" s="84"/>
      <c r="E16" s="18" t="s">
        <v>24</v>
      </c>
      <c r="F16" s="33" t="s">
        <v>125</v>
      </c>
      <c r="G16" s="69">
        <f>IF(C7=0,,G15/C7)</f>
        <v>0</v>
      </c>
      <c r="H16" s="53" t="s">
        <v>123</v>
      </c>
    </row>
    <row r="17" spans="3:5" x14ac:dyDescent="0.3">
      <c r="C17" s="33" t="s">
        <v>122</v>
      </c>
      <c r="D17" s="54">
        <f>IF(SUM(C5:C6)=0,,D16*1000/SUM(C5:C6))</f>
        <v>0</v>
      </c>
      <c r="E17" s="18" t="s">
        <v>35</v>
      </c>
    </row>
    <row r="18" spans="3:5" ht="15" x14ac:dyDescent="0.4">
      <c r="C18" s="68" t="s">
        <v>118</v>
      </c>
      <c r="D18" s="54">
        <f>((SUM(C5:C6)*D17/1000)-(4*C5/1000)-(0.5*C6/1000)-(0.24*(0.006+0.002+0.033)*SUM(C5:C6)*D17/1000)-(0.76*(0.019+0.002)*SUM(C5:C6)*D17/1000)-(SUM(C5:C6)*0.01))*44/12</f>
        <v>0</v>
      </c>
      <c r="E18" s="53" t="s">
        <v>117</v>
      </c>
    </row>
  </sheetData>
  <sheetProtection algorithmName="SHA-512" hashValue="jeXwWMYCZmkw1AFPlrtbYlR7CaadrSV8ltARV/08RuVJ8yFz5W0Za9fHcK28Ob0SHxozNzORjCw394+O63mhOA==" saltValue="pwV+wZR8FDYmuWVEJ2JE7Q==" spinCount="100000" sheet="1" objects="1" scenarios="1"/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J24"/>
  <sheetViews>
    <sheetView workbookViewId="0">
      <selection activeCell="C32" sqref="C32"/>
    </sheetView>
  </sheetViews>
  <sheetFormatPr defaultColWidth="18.7265625" defaultRowHeight="13" x14ac:dyDescent="0.3"/>
  <cols>
    <col min="1" max="2" width="18.7265625" style="18"/>
    <col min="3" max="3" width="18.7265625" style="65"/>
    <col min="4" max="4" width="18.7265625" style="18" customWidth="1"/>
    <col min="5" max="5" width="4.54296875" style="18" bestFit="1" customWidth="1"/>
    <col min="6" max="7" width="18.7265625" style="18" customWidth="1"/>
    <col min="8" max="16384" width="18.7265625" style="18"/>
  </cols>
  <sheetData>
    <row r="2" spans="1:10" x14ac:dyDescent="0.3">
      <c r="A2" s="44"/>
      <c r="B2" s="33" t="s">
        <v>82</v>
      </c>
      <c r="C2" s="92"/>
      <c r="D2" s="18" t="s">
        <v>24</v>
      </c>
      <c r="E2" s="62" t="s">
        <v>30</v>
      </c>
      <c r="F2" s="54">
        <f>SUM(C9:C11)</f>
        <v>0</v>
      </c>
      <c r="G2" s="18" t="s">
        <v>24</v>
      </c>
    </row>
    <row r="3" spans="1:10" x14ac:dyDescent="0.3">
      <c r="A3" s="44"/>
      <c r="B3" s="33"/>
      <c r="C3" s="18"/>
      <c r="E3" s="62"/>
      <c r="F3" s="18" t="s">
        <v>84</v>
      </c>
    </row>
    <row r="4" spans="1:10" x14ac:dyDescent="0.3">
      <c r="A4" s="44"/>
      <c r="B4" s="33" t="s">
        <v>119</v>
      </c>
      <c r="C4" s="84"/>
      <c r="D4" s="18" t="s">
        <v>24</v>
      </c>
      <c r="E4" s="62"/>
    </row>
    <row r="5" spans="1:10" x14ac:dyDescent="0.3">
      <c r="A5" s="44"/>
      <c r="B5" s="33" t="s">
        <v>120</v>
      </c>
      <c r="C5" s="84"/>
      <c r="D5" s="18" t="s">
        <v>24</v>
      </c>
      <c r="E5" s="62"/>
    </row>
    <row r="6" spans="1:10" x14ac:dyDescent="0.3">
      <c r="B6" s="33"/>
      <c r="C6" s="18"/>
    </row>
    <row r="7" spans="1:10" x14ac:dyDescent="0.3">
      <c r="B7" s="33" t="s">
        <v>150</v>
      </c>
      <c r="C7" s="54">
        <f>C2+C4-C5</f>
        <v>0</v>
      </c>
      <c r="D7" s="18" t="s">
        <v>24</v>
      </c>
      <c r="E7" s="18" t="s">
        <v>30</v>
      </c>
      <c r="F7" s="54">
        <f>'3 - Electrolysis'!D16</f>
        <v>0</v>
      </c>
      <c r="G7" s="18" t="s">
        <v>24</v>
      </c>
    </row>
    <row r="8" spans="1:10" x14ac:dyDescent="0.3">
      <c r="B8" s="33"/>
      <c r="C8" s="70"/>
      <c r="F8" s="79" t="s">
        <v>84</v>
      </c>
    </row>
    <row r="9" spans="1:10" x14ac:dyDescent="0.3">
      <c r="A9" s="44"/>
      <c r="B9" s="33" t="s">
        <v>80</v>
      </c>
      <c r="C9" s="92"/>
      <c r="D9" s="18" t="s">
        <v>24</v>
      </c>
    </row>
    <row r="10" spans="1:10" x14ac:dyDescent="0.3">
      <c r="B10" s="33" t="s">
        <v>83</v>
      </c>
      <c r="C10" s="92"/>
      <c r="D10" s="18" t="s">
        <v>24</v>
      </c>
    </row>
    <row r="11" spans="1:10" x14ac:dyDescent="0.3">
      <c r="B11" s="33" t="s">
        <v>81</v>
      </c>
      <c r="C11" s="92"/>
      <c r="D11" s="18" t="s">
        <v>24</v>
      </c>
    </row>
    <row r="12" spans="1:10" x14ac:dyDescent="0.3">
      <c r="B12" s="33"/>
      <c r="C12" s="18"/>
    </row>
    <row r="13" spans="1:10" s="51" customFormat="1" ht="41" x14ac:dyDescent="0.35">
      <c r="A13" s="50"/>
      <c r="C13" s="66"/>
      <c r="D13" s="48" t="s">
        <v>85</v>
      </c>
      <c r="F13" s="48" t="s">
        <v>135</v>
      </c>
      <c r="G13" s="48" t="s">
        <v>66</v>
      </c>
      <c r="H13" s="48" t="s">
        <v>87</v>
      </c>
      <c r="I13" s="48" t="s">
        <v>101</v>
      </c>
      <c r="J13" s="48" t="s">
        <v>93</v>
      </c>
    </row>
    <row r="14" spans="1:10" x14ac:dyDescent="0.3">
      <c r="B14" s="58" t="s">
        <v>8</v>
      </c>
      <c r="D14" s="84"/>
      <c r="E14" s="18" t="s">
        <v>17</v>
      </c>
      <c r="F14" s="85">
        <v>24000</v>
      </c>
      <c r="G14" s="54">
        <f>D14*F14/10^9</f>
        <v>0</v>
      </c>
      <c r="H14" s="94">
        <v>2.5</v>
      </c>
      <c r="I14" s="54">
        <f>D14*H14/1000</f>
        <v>0</v>
      </c>
      <c r="J14" s="55"/>
    </row>
    <row r="15" spans="1:10" ht="14.5" x14ac:dyDescent="0.3">
      <c r="B15" s="58" t="s">
        <v>60</v>
      </c>
      <c r="D15" s="84"/>
      <c r="E15" s="18" t="s">
        <v>70</v>
      </c>
      <c r="F15" s="85">
        <v>38000</v>
      </c>
      <c r="G15" s="54">
        <f t="shared" ref="G15:G18" si="0">D15*F15/10^9</f>
        <v>0</v>
      </c>
      <c r="H15" s="94">
        <v>2</v>
      </c>
      <c r="I15" s="54">
        <f>D15*H15/1000</f>
        <v>0</v>
      </c>
      <c r="J15" s="55"/>
    </row>
    <row r="16" spans="1:10" x14ac:dyDescent="0.3">
      <c r="B16" s="58" t="s">
        <v>18</v>
      </c>
      <c r="D16" s="84"/>
      <c r="E16" s="18" t="s">
        <v>17</v>
      </c>
      <c r="F16" s="85">
        <v>42000</v>
      </c>
      <c r="G16" s="54">
        <f t="shared" si="0"/>
        <v>0</v>
      </c>
      <c r="H16" s="94">
        <v>3</v>
      </c>
      <c r="I16" s="54">
        <f t="shared" ref="I16:I17" si="1">D16*H16/1000</f>
        <v>0</v>
      </c>
      <c r="J16" s="55"/>
    </row>
    <row r="17" spans="1:10" x14ac:dyDescent="0.3">
      <c r="B17" s="58" t="s">
        <v>19</v>
      </c>
      <c r="D17" s="84"/>
      <c r="E17" s="18" t="s">
        <v>17</v>
      </c>
      <c r="F17" s="85">
        <v>42000</v>
      </c>
      <c r="G17" s="54">
        <f t="shared" si="0"/>
        <v>0</v>
      </c>
      <c r="H17" s="94">
        <v>3</v>
      </c>
      <c r="I17" s="54">
        <f t="shared" si="1"/>
        <v>0</v>
      </c>
      <c r="J17" s="55"/>
    </row>
    <row r="18" spans="1:10" x14ac:dyDescent="0.3">
      <c r="B18" s="58" t="s">
        <v>27</v>
      </c>
      <c r="C18" s="93"/>
      <c r="D18" s="84"/>
      <c r="E18" s="84"/>
      <c r="F18" s="84"/>
      <c r="G18" s="54">
        <f t="shared" si="0"/>
        <v>0</v>
      </c>
      <c r="H18" s="88"/>
      <c r="I18" s="54">
        <f>D18*H18/1000</f>
        <v>0</v>
      </c>
      <c r="J18" s="55"/>
    </row>
    <row r="19" spans="1:10" x14ac:dyDescent="0.3">
      <c r="B19" s="58" t="s">
        <v>28</v>
      </c>
      <c r="D19" s="84"/>
      <c r="E19" s="18" t="s">
        <v>47</v>
      </c>
      <c r="F19" s="85">
        <f>'Power Consumption (output)'!E14</f>
        <v>0</v>
      </c>
      <c r="G19" s="54">
        <f>D19*F19/10^9</f>
        <v>0</v>
      </c>
      <c r="H19" s="94">
        <f>'Power Consumption (output)'!E20</f>
        <v>0</v>
      </c>
      <c r="I19" s="70"/>
      <c r="J19" s="54">
        <f>D19*H19/1000</f>
        <v>0</v>
      </c>
    </row>
    <row r="20" spans="1:10" x14ac:dyDescent="0.3">
      <c r="B20" s="33" t="s">
        <v>46</v>
      </c>
      <c r="G20" s="54">
        <f>SUM(G14:G19)</f>
        <v>0</v>
      </c>
      <c r="I20" s="54">
        <f>SUM(I14:I19)</f>
        <v>0</v>
      </c>
      <c r="J20" s="54">
        <f>SUM(J14:J19)</f>
        <v>0</v>
      </c>
    </row>
    <row r="22" spans="1:10" x14ac:dyDescent="0.3">
      <c r="A22" s="47"/>
      <c r="B22" s="33" t="s">
        <v>86</v>
      </c>
      <c r="C22" s="67">
        <f>IF(C2&gt;0,G20*10^6/C2,)</f>
        <v>0</v>
      </c>
      <c r="D22" s="18" t="s">
        <v>29</v>
      </c>
    </row>
    <row r="23" spans="1:10" ht="15" x14ac:dyDescent="0.4">
      <c r="B23" s="33" t="s">
        <v>88</v>
      </c>
      <c r="C23" s="71">
        <f>IF(C2&gt;0,I20/C2,)</f>
        <v>0</v>
      </c>
      <c r="D23" s="18" t="s">
        <v>100</v>
      </c>
    </row>
    <row r="24" spans="1:10" ht="15" x14ac:dyDescent="0.4">
      <c r="B24" s="33" t="s">
        <v>89</v>
      </c>
      <c r="C24" s="71">
        <f>IF(C2&gt;0,J20/C2,)</f>
        <v>0</v>
      </c>
      <c r="D24" s="18" t="s">
        <v>100</v>
      </c>
    </row>
  </sheetData>
  <sheetProtection algorithmName="SHA-512" hashValue="IDktoD7oIldJIJR8uEs48GjlCN4CTjg2Ry6MB6k3ZuR3wHrdZWGXXxSHtfTO88s0s0y+ekxtl1q0kBV04esFOg==" saltValue="upqVHfyJn1cGBXzJNgLQjQ==" spinCount="100000" sheet="1" objects="1" scenarios="1"/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L29"/>
  <sheetViews>
    <sheetView workbookViewId="0">
      <selection activeCell="C32" sqref="C32"/>
    </sheetView>
  </sheetViews>
  <sheetFormatPr defaultColWidth="18.7265625" defaultRowHeight="13" x14ac:dyDescent="0.3"/>
  <cols>
    <col min="1" max="1" width="18.7265625" style="18"/>
    <col min="2" max="2" width="27.7265625" style="18" customWidth="1"/>
    <col min="3" max="3" width="18.7265625" style="55"/>
    <col min="4" max="4" width="18.7265625" style="18"/>
    <col min="5" max="5" width="4.54296875" style="18" bestFit="1" customWidth="1"/>
    <col min="6" max="9" width="18.7265625" style="18"/>
    <col min="10" max="10" width="17.7265625" style="18" customWidth="1"/>
    <col min="11" max="11" width="16.453125" style="18" customWidth="1"/>
    <col min="12" max="16384" width="18.7265625" style="18"/>
  </cols>
  <sheetData>
    <row r="2" spans="1:8" x14ac:dyDescent="0.3">
      <c r="A2" s="44"/>
      <c r="B2" s="33" t="s">
        <v>90</v>
      </c>
      <c r="C2" s="84"/>
      <c r="D2" s="18" t="s">
        <v>24</v>
      </c>
      <c r="E2" s="61" t="s">
        <v>30</v>
      </c>
      <c r="F2" s="54">
        <f>C4+(0.65*C5)+(0.95*C6)+C14+C15-C16</f>
        <v>0</v>
      </c>
      <c r="G2" s="18" t="s">
        <v>24</v>
      </c>
      <c r="H2" s="63"/>
    </row>
    <row r="3" spans="1:8" x14ac:dyDescent="0.3">
      <c r="B3" s="33"/>
      <c r="C3" s="70"/>
      <c r="F3" s="79" t="s">
        <v>84</v>
      </c>
    </row>
    <row r="4" spans="1:8" x14ac:dyDescent="0.3">
      <c r="A4" s="44"/>
      <c r="B4" s="33" t="s">
        <v>80</v>
      </c>
      <c r="C4" s="84"/>
      <c r="D4" s="18" t="s">
        <v>24</v>
      </c>
    </row>
    <row r="5" spans="1:8" x14ac:dyDescent="0.3">
      <c r="B5" s="33" t="s">
        <v>81</v>
      </c>
      <c r="C5" s="84"/>
      <c r="D5" s="18" t="s">
        <v>24</v>
      </c>
    </row>
    <row r="6" spans="1:8" x14ac:dyDescent="0.3">
      <c r="B6" s="33" t="s">
        <v>102</v>
      </c>
      <c r="C6" s="84"/>
      <c r="D6" s="18" t="s">
        <v>24</v>
      </c>
    </row>
    <row r="7" spans="1:8" x14ac:dyDescent="0.3">
      <c r="A7" s="44"/>
      <c r="B7" s="33" t="s">
        <v>152</v>
      </c>
      <c r="C7" s="84"/>
      <c r="D7" s="18" t="s">
        <v>24</v>
      </c>
    </row>
    <row r="8" spans="1:8" x14ac:dyDescent="0.3">
      <c r="B8" s="33"/>
      <c r="C8" s="70"/>
      <c r="F8" s="79" t="s">
        <v>84</v>
      </c>
    </row>
    <row r="9" spans="1:8" x14ac:dyDescent="0.3">
      <c r="B9" s="33" t="s">
        <v>113</v>
      </c>
      <c r="C9" s="84"/>
      <c r="D9" s="18" t="s">
        <v>24</v>
      </c>
    </row>
    <row r="10" spans="1:8" x14ac:dyDescent="0.3">
      <c r="B10" s="33" t="s">
        <v>146</v>
      </c>
      <c r="C10" s="84"/>
      <c r="D10" s="18" t="s">
        <v>24</v>
      </c>
    </row>
    <row r="11" spans="1:8" x14ac:dyDescent="0.3">
      <c r="B11" s="33"/>
      <c r="C11" s="18"/>
    </row>
    <row r="12" spans="1:8" x14ac:dyDescent="0.3">
      <c r="B12" s="33" t="s">
        <v>148</v>
      </c>
      <c r="C12" s="54">
        <f>C2+C9-C10</f>
        <v>0</v>
      </c>
      <c r="D12" s="18" t="s">
        <v>24</v>
      </c>
      <c r="E12" s="18" t="s">
        <v>30</v>
      </c>
      <c r="F12" s="54">
        <f>'3 - Electrolysis'!D10</f>
        <v>0</v>
      </c>
      <c r="G12" s="18" t="s">
        <v>24</v>
      </c>
    </row>
    <row r="13" spans="1:8" x14ac:dyDescent="0.3">
      <c r="B13" s="33"/>
      <c r="C13" s="18"/>
    </row>
    <row r="14" spans="1:8" x14ac:dyDescent="0.3">
      <c r="B14" s="33" t="s">
        <v>103</v>
      </c>
      <c r="C14" s="84"/>
      <c r="D14" s="18" t="s">
        <v>24</v>
      </c>
    </row>
    <row r="15" spans="1:8" x14ac:dyDescent="0.3">
      <c r="B15" s="33" t="s">
        <v>104</v>
      </c>
      <c r="C15" s="84"/>
      <c r="D15" s="18" t="s">
        <v>24</v>
      </c>
    </row>
    <row r="16" spans="1:8" x14ac:dyDescent="0.3">
      <c r="B16" s="33" t="s">
        <v>147</v>
      </c>
      <c r="C16" s="84"/>
      <c r="D16" s="18" t="s">
        <v>24</v>
      </c>
    </row>
    <row r="17" spans="1:12" x14ac:dyDescent="0.3">
      <c r="B17" s="33"/>
      <c r="C17" s="18"/>
    </row>
    <row r="18" spans="1:12" s="48" customFormat="1" ht="43" x14ac:dyDescent="0.3">
      <c r="A18" s="64"/>
      <c r="C18" s="72"/>
      <c r="D18" s="48" t="s">
        <v>48</v>
      </c>
      <c r="F18" s="48" t="s">
        <v>135</v>
      </c>
      <c r="G18" s="48" t="s">
        <v>36</v>
      </c>
      <c r="H18" s="48" t="s">
        <v>87</v>
      </c>
      <c r="I18" s="48" t="s">
        <v>101</v>
      </c>
      <c r="J18" s="48" t="s">
        <v>131</v>
      </c>
      <c r="K18" s="48" t="s">
        <v>93</v>
      </c>
    </row>
    <row r="19" spans="1:12" x14ac:dyDescent="0.3">
      <c r="B19" s="58" t="s">
        <v>8</v>
      </c>
      <c r="C19" s="70"/>
      <c r="D19" s="84"/>
      <c r="E19" s="18" t="s">
        <v>17</v>
      </c>
      <c r="F19" s="85">
        <v>24000</v>
      </c>
      <c r="G19" s="54">
        <f t="shared" ref="G19:G24" si="0">D19*F19/10^9</f>
        <v>0</v>
      </c>
      <c r="H19" s="94">
        <v>2.5</v>
      </c>
      <c r="I19" s="54">
        <f>D19*H19/1000</f>
        <v>0</v>
      </c>
      <c r="J19" s="70"/>
      <c r="K19" s="55"/>
    </row>
    <row r="20" spans="1:12" ht="14.5" x14ac:dyDescent="0.3">
      <c r="B20" s="58" t="s">
        <v>60</v>
      </c>
      <c r="C20" s="70"/>
      <c r="D20" s="84"/>
      <c r="E20" s="18" t="s">
        <v>70</v>
      </c>
      <c r="F20" s="85">
        <v>38000</v>
      </c>
      <c r="G20" s="54">
        <f t="shared" si="0"/>
        <v>0</v>
      </c>
      <c r="H20" s="94">
        <v>2</v>
      </c>
      <c r="I20" s="54">
        <f>D20*H20/1000</f>
        <v>0</v>
      </c>
      <c r="J20" s="70"/>
      <c r="K20" s="55"/>
    </row>
    <row r="21" spans="1:12" x14ac:dyDescent="0.3">
      <c r="B21" s="58" t="s">
        <v>105</v>
      </c>
      <c r="C21" s="70"/>
      <c r="D21" s="84"/>
      <c r="E21" s="18" t="s">
        <v>17</v>
      </c>
      <c r="F21" s="85">
        <v>42000</v>
      </c>
      <c r="G21" s="54">
        <f t="shared" si="0"/>
        <v>0</v>
      </c>
      <c r="H21" s="94">
        <v>3</v>
      </c>
      <c r="I21" s="54">
        <f>D21*H21/1000</f>
        <v>0</v>
      </c>
      <c r="J21" s="70"/>
      <c r="K21" s="55"/>
    </row>
    <row r="22" spans="1:12" x14ac:dyDescent="0.3">
      <c r="B22" s="58" t="s">
        <v>106</v>
      </c>
      <c r="C22" s="70"/>
      <c r="D22" s="84"/>
      <c r="E22" s="18" t="s">
        <v>17</v>
      </c>
      <c r="F22" s="85">
        <v>42000</v>
      </c>
      <c r="G22" s="54">
        <f t="shared" si="0"/>
        <v>0</v>
      </c>
      <c r="H22" s="94">
        <v>3</v>
      </c>
      <c r="I22" s="54">
        <f>D22*H22/1000</f>
        <v>0</v>
      </c>
      <c r="J22" s="70"/>
      <c r="K22" s="55"/>
    </row>
    <row r="23" spans="1:12" x14ac:dyDescent="0.3">
      <c r="B23" s="58" t="s">
        <v>27</v>
      </c>
      <c r="C23" s="88"/>
      <c r="D23" s="84"/>
      <c r="E23" s="84"/>
      <c r="F23" s="84"/>
      <c r="G23" s="54">
        <f t="shared" si="0"/>
        <v>0</v>
      </c>
      <c r="H23" s="88"/>
      <c r="I23" s="54">
        <f>D23*H23/1000</f>
        <v>0</v>
      </c>
      <c r="J23" s="70"/>
      <c r="K23" s="55"/>
    </row>
    <row r="24" spans="1:12" x14ac:dyDescent="0.3">
      <c r="B24" s="58" t="s">
        <v>28</v>
      </c>
      <c r="C24" s="70"/>
      <c r="D24" s="84"/>
      <c r="E24" s="18" t="s">
        <v>47</v>
      </c>
      <c r="F24" s="85">
        <f>'Power Consumption (output)'!E14</f>
        <v>0</v>
      </c>
      <c r="G24" s="54">
        <f t="shared" si="0"/>
        <v>0</v>
      </c>
      <c r="H24" s="94">
        <f>'Power Consumption (output)'!E20</f>
        <v>0</v>
      </c>
      <c r="I24" s="70"/>
      <c r="J24" s="70"/>
      <c r="K24" s="54">
        <f>D24*H24/1000</f>
        <v>0</v>
      </c>
    </row>
    <row r="25" spans="1:12" x14ac:dyDescent="0.3">
      <c r="B25" s="33" t="s">
        <v>46</v>
      </c>
      <c r="G25" s="54">
        <f>SUM(G19:G24)</f>
        <v>0</v>
      </c>
      <c r="H25" s="55"/>
      <c r="I25" s="54">
        <f>SUM(I19:I24)</f>
        <v>0</v>
      </c>
      <c r="J25" s="54">
        <f>C2*0.235</f>
        <v>0</v>
      </c>
      <c r="K25" s="54">
        <f>SUM(K19:K24)</f>
        <v>0</v>
      </c>
      <c r="L25" s="53"/>
    </row>
    <row r="26" spans="1:12" ht="15" x14ac:dyDescent="0.4">
      <c r="H26" s="33" t="s">
        <v>108</v>
      </c>
      <c r="I26" s="107">
        <f>I25+J25</f>
        <v>0</v>
      </c>
      <c r="J26" s="108"/>
      <c r="K26" s="18" t="s">
        <v>53</v>
      </c>
    </row>
    <row r="27" spans="1:12" x14ac:dyDescent="0.3">
      <c r="B27" s="33" t="s">
        <v>107</v>
      </c>
      <c r="C27" s="67">
        <f>IF(C2&gt;0,G25*10^6/C2,)</f>
        <v>0</v>
      </c>
      <c r="D27" s="18" t="s">
        <v>37</v>
      </c>
    </row>
    <row r="28" spans="1:12" x14ac:dyDescent="0.3">
      <c r="B28" s="33" t="s">
        <v>88</v>
      </c>
      <c r="C28" s="69">
        <f>IF(C2&gt;0,I26/C2,)</f>
        <v>0</v>
      </c>
      <c r="D28" s="18" t="s">
        <v>91</v>
      </c>
      <c r="I28" s="28"/>
    </row>
    <row r="29" spans="1:12" x14ac:dyDescent="0.3">
      <c r="B29" s="33" t="s">
        <v>89</v>
      </c>
      <c r="C29" s="69">
        <f>IF(C2&gt;0,K25/C2,)</f>
        <v>0</v>
      </c>
      <c r="D29" s="18" t="s">
        <v>91</v>
      </c>
    </row>
  </sheetData>
  <sheetProtection algorithmName="SHA-512" hashValue="JjciC2OQF6CfU2OEGmAeXQztZ2cwKZjvPLRZmsjm7aJHyz24sd/3dK305YYz5DwpojRgUOL4W2TXC3eTQ+SwNg==" saltValue="6R/cEV8VfiQE4LIH5EORRQ==" spinCount="100000" sheet="1" objects="1" scenarios="1"/>
  <mergeCells count="1">
    <mergeCell ref="I26:J2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N21"/>
  <sheetViews>
    <sheetView workbookViewId="0">
      <selection activeCell="H7" sqref="H7"/>
    </sheetView>
  </sheetViews>
  <sheetFormatPr defaultColWidth="18.7265625" defaultRowHeight="13" x14ac:dyDescent="0.3"/>
  <cols>
    <col min="1" max="2" width="18.7265625" style="18"/>
    <col min="3" max="3" width="18.7265625" style="55"/>
    <col min="4" max="4" width="18.7265625" style="18" customWidth="1"/>
    <col min="5" max="5" width="4.54296875" style="18" bestFit="1" customWidth="1"/>
    <col min="6" max="6" width="18.7265625" style="18"/>
    <col min="7" max="7" width="15.26953125" style="18" bestFit="1" customWidth="1"/>
    <col min="8" max="8" width="18.7265625" style="18" customWidth="1"/>
    <col min="9" max="9" width="21.1796875" style="18" customWidth="1"/>
    <col min="10" max="10" width="20.7265625" style="18" customWidth="1"/>
    <col min="11" max="12" width="18.7265625" style="18"/>
    <col min="13" max="13" width="13.54296875" style="18" bestFit="1" customWidth="1"/>
    <col min="14" max="16384" width="18.7265625" style="18"/>
  </cols>
  <sheetData>
    <row r="2" spans="1:14" ht="27" customHeight="1" x14ac:dyDescent="0.3">
      <c r="H2" s="95" t="s">
        <v>155</v>
      </c>
      <c r="I2" s="95" t="s">
        <v>156</v>
      </c>
      <c r="J2" s="95" t="s">
        <v>159</v>
      </c>
      <c r="K2" s="95" t="s">
        <v>157</v>
      </c>
      <c r="L2" s="95" t="s">
        <v>153</v>
      </c>
      <c r="M2" s="96" t="s">
        <v>154</v>
      </c>
      <c r="N2" s="84"/>
    </row>
    <row r="3" spans="1:14" x14ac:dyDescent="0.3">
      <c r="A3" s="44"/>
      <c r="B3" s="33" t="s">
        <v>126</v>
      </c>
      <c r="C3" s="84"/>
      <c r="D3" s="18" t="s">
        <v>24</v>
      </c>
      <c r="E3" s="61" t="s">
        <v>30</v>
      </c>
      <c r="F3" s="54">
        <f>SUM(H3:L3)</f>
        <v>0</v>
      </c>
      <c r="G3" s="97" t="s">
        <v>160</v>
      </c>
      <c r="H3" s="84"/>
      <c r="I3" s="84"/>
      <c r="J3" s="84"/>
      <c r="K3" s="84"/>
      <c r="L3" s="84"/>
      <c r="M3" s="84"/>
    </row>
    <row r="4" spans="1:14" x14ac:dyDescent="0.3">
      <c r="B4" s="33"/>
      <c r="C4" s="70"/>
      <c r="H4" s="28" t="s">
        <v>24</v>
      </c>
      <c r="I4" s="28" t="s">
        <v>24</v>
      </c>
      <c r="J4" s="28" t="s">
        <v>24</v>
      </c>
      <c r="K4" s="28" t="s">
        <v>24</v>
      </c>
      <c r="L4" s="28" t="s">
        <v>24</v>
      </c>
      <c r="M4" s="28" t="s">
        <v>24</v>
      </c>
    </row>
    <row r="5" spans="1:14" x14ac:dyDescent="0.3">
      <c r="A5" s="44"/>
      <c r="B5" s="33" t="s">
        <v>127</v>
      </c>
      <c r="C5" s="84"/>
      <c r="D5" s="18" t="s">
        <v>24</v>
      </c>
      <c r="E5" s="61" t="s">
        <v>30</v>
      </c>
      <c r="F5" s="54">
        <f>'3 - Electrolysis'!C7</f>
        <v>0</v>
      </c>
      <c r="G5" s="18" t="s">
        <v>24</v>
      </c>
    </row>
    <row r="6" spans="1:14" x14ac:dyDescent="0.3">
      <c r="B6" s="33" t="s">
        <v>128</v>
      </c>
      <c r="C6" s="84"/>
      <c r="D6" s="18" t="s">
        <v>24</v>
      </c>
      <c r="F6" s="18" t="s">
        <v>84</v>
      </c>
    </row>
    <row r="7" spans="1:14" x14ac:dyDescent="0.3">
      <c r="B7" s="33" t="s">
        <v>129</v>
      </c>
      <c r="C7" s="84"/>
      <c r="D7" s="18" t="s">
        <v>24</v>
      </c>
    </row>
    <row r="8" spans="1:14" x14ac:dyDescent="0.3">
      <c r="B8" s="33" t="s">
        <v>130</v>
      </c>
      <c r="C8" s="84"/>
      <c r="D8" s="18" t="s">
        <v>24</v>
      </c>
    </row>
    <row r="9" spans="1:14" x14ac:dyDescent="0.3">
      <c r="C9" s="70"/>
    </row>
    <row r="10" spans="1:14" ht="27" customHeight="1" x14ac:dyDescent="0.3">
      <c r="A10" s="44"/>
      <c r="B10" s="51"/>
      <c r="C10" s="75"/>
      <c r="D10" s="48" t="s">
        <v>85</v>
      </c>
      <c r="E10" s="51"/>
      <c r="F10" s="48" t="s">
        <v>135</v>
      </c>
      <c r="G10" s="48" t="s">
        <v>66</v>
      </c>
      <c r="H10" s="48" t="s">
        <v>87</v>
      </c>
      <c r="I10" s="48" t="s">
        <v>158</v>
      </c>
      <c r="J10" s="48" t="s">
        <v>93</v>
      </c>
    </row>
    <row r="11" spans="1:14" x14ac:dyDescent="0.3">
      <c r="B11" s="58" t="s">
        <v>8</v>
      </c>
      <c r="C11" s="70"/>
      <c r="D11" s="84"/>
      <c r="E11" s="18" t="s">
        <v>17</v>
      </c>
      <c r="F11" s="85">
        <v>24000</v>
      </c>
      <c r="G11" s="54">
        <f t="shared" ref="G11:G15" si="0">D11*F11/10^9</f>
        <v>0</v>
      </c>
      <c r="H11" s="94">
        <v>2.5</v>
      </c>
      <c r="I11" s="54">
        <f>D11*H11/1000</f>
        <v>0</v>
      </c>
      <c r="J11" s="70"/>
    </row>
    <row r="12" spans="1:14" ht="14.5" x14ac:dyDescent="0.3">
      <c r="B12" s="58" t="s">
        <v>10</v>
      </c>
      <c r="C12" s="70"/>
      <c r="D12" s="84"/>
      <c r="E12" s="18" t="s">
        <v>70</v>
      </c>
      <c r="F12" s="85">
        <v>38000</v>
      </c>
      <c r="G12" s="54">
        <f t="shared" si="0"/>
        <v>0</v>
      </c>
      <c r="H12" s="94">
        <v>2</v>
      </c>
      <c r="I12" s="54">
        <f>D12*H12/1000</f>
        <v>0</v>
      </c>
      <c r="J12" s="70"/>
    </row>
    <row r="13" spans="1:14" x14ac:dyDescent="0.3">
      <c r="B13" s="58" t="s">
        <v>18</v>
      </c>
      <c r="C13" s="70"/>
      <c r="D13" s="84"/>
      <c r="E13" s="18" t="s">
        <v>17</v>
      </c>
      <c r="F13" s="85">
        <v>42000</v>
      </c>
      <c r="G13" s="54">
        <f t="shared" si="0"/>
        <v>0</v>
      </c>
      <c r="H13" s="94">
        <v>3</v>
      </c>
      <c r="I13" s="54">
        <f t="shared" ref="I13:I15" si="1">D13*H13/1000</f>
        <v>0</v>
      </c>
      <c r="J13" s="70"/>
    </row>
    <row r="14" spans="1:14" x14ac:dyDescent="0.3">
      <c r="B14" s="58" t="s">
        <v>19</v>
      </c>
      <c r="C14" s="70"/>
      <c r="D14" s="84"/>
      <c r="E14" s="18" t="s">
        <v>17</v>
      </c>
      <c r="F14" s="85">
        <v>42000</v>
      </c>
      <c r="G14" s="54">
        <f t="shared" si="0"/>
        <v>0</v>
      </c>
      <c r="H14" s="94">
        <v>3</v>
      </c>
      <c r="I14" s="54">
        <f t="shared" si="1"/>
        <v>0</v>
      </c>
      <c r="J14" s="70"/>
    </row>
    <row r="15" spans="1:14" x14ac:dyDescent="0.3">
      <c r="B15" s="58" t="s">
        <v>27</v>
      </c>
      <c r="C15" s="88"/>
      <c r="D15" s="84"/>
      <c r="E15" s="84"/>
      <c r="F15" s="84"/>
      <c r="G15" s="54">
        <f t="shared" si="0"/>
        <v>0</v>
      </c>
      <c r="H15" s="88"/>
      <c r="I15" s="54">
        <f t="shared" si="1"/>
        <v>0</v>
      </c>
      <c r="J15" s="70"/>
    </row>
    <row r="16" spans="1:14" x14ac:dyDescent="0.3">
      <c r="B16" s="58" t="s">
        <v>28</v>
      </c>
      <c r="C16" s="70"/>
      <c r="D16" s="84"/>
      <c r="E16" s="18" t="s">
        <v>47</v>
      </c>
      <c r="F16" s="85">
        <f>'Power Consumption (output)'!E14</f>
        <v>0</v>
      </c>
      <c r="G16" s="54">
        <f>D16*F16/10^9</f>
        <v>0</v>
      </c>
      <c r="H16" s="94">
        <f>'Power Consumption (output)'!E20</f>
        <v>0</v>
      </c>
      <c r="I16" s="70"/>
      <c r="J16" s="54">
        <f>D16*H16/1000</f>
        <v>0</v>
      </c>
    </row>
    <row r="17" spans="2:10" x14ac:dyDescent="0.3">
      <c r="B17" s="33" t="s">
        <v>46</v>
      </c>
      <c r="F17" s="63"/>
      <c r="G17" s="54">
        <f>SUM(G11:G16)</f>
        <v>0</v>
      </c>
      <c r="H17" s="55"/>
      <c r="I17" s="54">
        <f>SUM(I11:I16)</f>
        <v>0</v>
      </c>
      <c r="J17" s="54">
        <f>SUM(J11:J16)</f>
        <v>0</v>
      </c>
    </row>
    <row r="19" spans="2:10" x14ac:dyDescent="0.3">
      <c r="B19" s="33" t="s">
        <v>95</v>
      </c>
      <c r="C19" s="67">
        <f>IF($C$3&gt;0,G17*10^6/$C$3,)</f>
        <v>0</v>
      </c>
      <c r="D19" s="18" t="s">
        <v>94</v>
      </c>
    </row>
    <row r="20" spans="2:10" x14ac:dyDescent="0.3">
      <c r="B20" s="33" t="s">
        <v>88</v>
      </c>
      <c r="C20" s="69">
        <f>IF(C3&gt;0,I17/C3,)</f>
        <v>0</v>
      </c>
      <c r="D20" s="18" t="s">
        <v>51</v>
      </c>
    </row>
    <row r="21" spans="2:10" x14ac:dyDescent="0.3">
      <c r="B21" s="33" t="s">
        <v>89</v>
      </c>
      <c r="C21" s="69">
        <f>IF(C3&gt;0,J17/C3,)</f>
        <v>0</v>
      </c>
      <c r="D21" s="18" t="s">
        <v>51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3191798399F804281EED95F493FE6CD" ma:contentTypeVersion="3" ma:contentTypeDescription="Create a new document." ma:contentTypeScope="" ma:versionID="03efe8288cf590ea27a20c9e245083d4">
  <xsd:schema xmlns:xsd="http://www.w3.org/2001/XMLSchema" xmlns:xs="http://www.w3.org/2001/XMLSchema" xmlns:p="http://schemas.microsoft.com/office/2006/metadata/properties" xmlns:ns2="cfecbf76-c846-4eb1-8493-80cb59ea595c" targetNamespace="http://schemas.microsoft.com/office/2006/metadata/properties" ma:root="true" ma:fieldsID="c6586c9e9590869b7d715a4fc023ad61" ns2:_="">
    <xsd:import namespace="cfecbf76-c846-4eb1-8493-80cb59ea595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ecbf76-c846-4eb1-8493-80cb59ea595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Sharing Hint Hash" ma:internalName="SharingHintHash" ma:readOnly="true">
      <xsd:simpleType>
        <xsd:restriction base="dms:Text"/>
      </xsd:simple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D3A3052-0507-4016-9FE7-E7ACFC692820}">
  <ds:schemaRefs>
    <ds:schemaRef ds:uri="http://purl.org/dc/dcmitype/"/>
    <ds:schemaRef ds:uri="http://purl.org/dc/terms/"/>
    <ds:schemaRef ds:uri="http://www.w3.org/XML/1998/namespace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cfecbf76-c846-4eb1-8493-80cb59ea595c"/>
  </ds:schemaRefs>
</ds:datastoreItem>
</file>

<file path=customXml/itemProps2.xml><?xml version="1.0" encoding="utf-8"?>
<ds:datastoreItem xmlns:ds="http://schemas.openxmlformats.org/officeDocument/2006/customXml" ds:itemID="{FD659231-7806-4B24-8D54-BAF8833E70C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5EEA76E-DFF6-4146-8BAD-BE33DC6407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ecbf76-c846-4eb1-8493-80cb59ea595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Reference values</vt:lpstr>
      <vt:lpstr>Metadata</vt:lpstr>
      <vt:lpstr>Power Consumption (output)</vt:lpstr>
      <vt:lpstr>1 - Power Import</vt:lpstr>
      <vt:lpstr>2 - Self-Generated Power</vt:lpstr>
      <vt:lpstr>3 - Electrolysis</vt:lpstr>
      <vt:lpstr>4 - Søderberg Paste Production</vt:lpstr>
      <vt:lpstr>5 - Prebaked Anode Production</vt:lpstr>
      <vt:lpstr>6 - Ingot Casting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bayliss</dc:creator>
  <cp:lastModifiedBy>Sarah Cruickshank</cp:lastModifiedBy>
  <dcterms:created xsi:type="dcterms:W3CDTF">2011-09-15T11:42:56Z</dcterms:created>
  <dcterms:modified xsi:type="dcterms:W3CDTF">2021-03-01T11:54:23Z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0x01010053191798399F804281EED95F493FE6CD</vt:lpwstr>
  </property>
</Properties>
</file>